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600"/>
  </bookViews>
  <sheets>
    <sheet name="入力" sheetId="1" r:id="rId1"/>
    <sheet name="事務所" sheetId="7" r:id="rId2"/>
    <sheet name="老健" sheetId="8" r:id="rId3"/>
    <sheet name="スポーツクラブ" sheetId="10" r:id="rId4"/>
    <sheet name="ホテル" sheetId="11" r:id="rId5"/>
    <sheet name="Sheet2" sheetId="2" r:id="rId6"/>
    <sheet name="Sheet3" sheetId="3" r:id="rId7"/>
    <sheet name="Sheet2 (2)" sheetId="6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1" l="1"/>
  <c r="S15" i="1"/>
  <c r="N16" i="6"/>
  <c r="O16" i="6"/>
  <c r="P16" i="6"/>
  <c r="E16" i="6"/>
  <c r="R9" i="1" l="1"/>
  <c r="R10" i="1" s="1"/>
  <c r="F124" i="6" l="1"/>
  <c r="J124" i="6"/>
  <c r="N26" i="11" l="1"/>
  <c r="N27" i="11" s="1"/>
  <c r="E155" i="6" s="1"/>
  <c r="M26" i="11"/>
  <c r="M16" i="11"/>
  <c r="M17" i="11" s="1"/>
  <c r="E113" i="6" s="1"/>
  <c r="L16" i="11"/>
  <c r="D26" i="11"/>
  <c r="D27" i="11" s="1"/>
  <c r="E134" i="6" s="1"/>
  <c r="E26" i="11"/>
  <c r="F26" i="11"/>
  <c r="G26" i="11"/>
  <c r="H26" i="11"/>
  <c r="I26" i="11"/>
  <c r="I27" i="11" s="1"/>
  <c r="C26" i="11"/>
  <c r="D21" i="11"/>
  <c r="E21" i="11"/>
  <c r="F21" i="11"/>
  <c r="G21" i="11"/>
  <c r="G22" i="11" s="1"/>
  <c r="H92" i="6" s="1"/>
  <c r="H21" i="11"/>
  <c r="I21" i="11"/>
  <c r="I22" i="11" s="1"/>
  <c r="J92" i="6" s="1"/>
  <c r="J21" i="11"/>
  <c r="J22" i="11" s="1"/>
  <c r="K92" i="6" s="1"/>
  <c r="K21" i="11"/>
  <c r="K22" i="11" s="1"/>
  <c r="L92" i="6" s="1"/>
  <c r="L21" i="11"/>
  <c r="L22" i="11" s="1"/>
  <c r="M92" i="6" s="1"/>
  <c r="C21" i="11"/>
  <c r="D16" i="11"/>
  <c r="D17" i="11" s="1"/>
  <c r="E16" i="11"/>
  <c r="F16" i="11"/>
  <c r="F17" i="11" s="1"/>
  <c r="G71" i="6" s="1"/>
  <c r="G16" i="11"/>
  <c r="G17" i="11" s="1"/>
  <c r="H71" i="6" s="1"/>
  <c r="H16" i="11"/>
  <c r="H17" i="11" s="1"/>
  <c r="I71" i="6" s="1"/>
  <c r="C16" i="11"/>
  <c r="D11" i="11"/>
  <c r="D12" i="11" s="1"/>
  <c r="E50" i="6" s="1"/>
  <c r="E11" i="11"/>
  <c r="E12" i="11" s="1"/>
  <c r="F50" i="6" s="1"/>
  <c r="F11" i="11"/>
  <c r="G11" i="11"/>
  <c r="G12" i="11" s="1"/>
  <c r="H50" i="6" s="1"/>
  <c r="H11" i="11"/>
  <c r="I11" i="11"/>
  <c r="I12" i="11" s="1"/>
  <c r="J50" i="6" s="1"/>
  <c r="J11" i="11"/>
  <c r="J12" i="11" s="1"/>
  <c r="K50" i="6" s="1"/>
  <c r="K11" i="11"/>
  <c r="K12" i="11" s="1"/>
  <c r="L50" i="6" s="1"/>
  <c r="L11" i="11"/>
  <c r="L12" i="11" s="1"/>
  <c r="M50" i="6" s="1"/>
  <c r="M11" i="11"/>
  <c r="M12" i="11" s="1"/>
  <c r="N50" i="6" s="1"/>
  <c r="N11" i="11"/>
  <c r="N12" i="11" s="1"/>
  <c r="O50" i="6" s="1"/>
  <c r="O11" i="11"/>
  <c r="O12" i="11" s="1"/>
  <c r="P50" i="6" s="1"/>
  <c r="C11" i="11"/>
  <c r="C12" i="11" s="1"/>
  <c r="D50" i="6" s="1"/>
  <c r="R27" i="11"/>
  <c r="M16" i="6"/>
  <c r="L16" i="6"/>
  <c r="D155" i="6"/>
  <c r="E145" i="6"/>
  <c r="D145" i="6"/>
  <c r="G134" i="6"/>
  <c r="H134" i="6"/>
  <c r="I134" i="6"/>
  <c r="D134" i="6"/>
  <c r="E124" i="6"/>
  <c r="G124" i="6"/>
  <c r="H124" i="6"/>
  <c r="I124" i="6"/>
  <c r="D124" i="6"/>
  <c r="D113" i="6"/>
  <c r="E103" i="6"/>
  <c r="D103" i="6"/>
  <c r="F92" i="6"/>
  <c r="G92" i="6"/>
  <c r="D92" i="6"/>
  <c r="E82" i="6"/>
  <c r="F82" i="6"/>
  <c r="G82" i="6"/>
  <c r="H82" i="6"/>
  <c r="I82" i="6"/>
  <c r="J82" i="6"/>
  <c r="K82" i="6"/>
  <c r="L82" i="6"/>
  <c r="M82" i="6"/>
  <c r="D82" i="6"/>
  <c r="F71" i="6"/>
  <c r="D71" i="6"/>
  <c r="E61" i="6"/>
  <c r="F61" i="6"/>
  <c r="G61" i="6"/>
  <c r="H61" i="6"/>
  <c r="I61" i="6"/>
  <c r="D61" i="6"/>
  <c r="G50" i="6"/>
  <c r="I50" i="6"/>
  <c r="F40" i="6"/>
  <c r="G40" i="6"/>
  <c r="H40" i="6"/>
  <c r="I40" i="6"/>
  <c r="J40" i="6"/>
  <c r="K40" i="6"/>
  <c r="L40" i="6"/>
  <c r="M40" i="6"/>
  <c r="N40" i="6"/>
  <c r="O40" i="6"/>
  <c r="P40" i="6"/>
  <c r="E40" i="6"/>
  <c r="D40" i="6"/>
  <c r="O26" i="11"/>
  <c r="L26" i="11"/>
  <c r="J26" i="11"/>
  <c r="B26" i="11"/>
  <c r="N24" i="11"/>
  <c r="M24" i="11"/>
  <c r="I24" i="11"/>
  <c r="H24" i="11"/>
  <c r="G24" i="11"/>
  <c r="F24" i="11"/>
  <c r="E24" i="11"/>
  <c r="D24" i="11"/>
  <c r="C24" i="11"/>
  <c r="D22" i="11"/>
  <c r="M21" i="11"/>
  <c r="H22" i="11"/>
  <c r="I92" i="6" s="1"/>
  <c r="B21" i="11"/>
  <c r="R20" i="11"/>
  <c r="R25" i="11" s="1"/>
  <c r="L19" i="11"/>
  <c r="K19" i="11"/>
  <c r="J19" i="11"/>
  <c r="I19" i="11"/>
  <c r="H19" i="11"/>
  <c r="G19" i="11"/>
  <c r="F19" i="11"/>
  <c r="E19" i="11"/>
  <c r="D19" i="11"/>
  <c r="C19" i="11"/>
  <c r="N16" i="11"/>
  <c r="K16" i="11"/>
  <c r="I16" i="11"/>
  <c r="B16" i="11"/>
  <c r="M14" i="11"/>
  <c r="L14" i="11"/>
  <c r="H14" i="11"/>
  <c r="G14" i="11"/>
  <c r="F14" i="11"/>
  <c r="D14" i="11"/>
  <c r="C14" i="11"/>
  <c r="P11" i="11"/>
  <c r="B11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N17" i="11" l="1"/>
  <c r="J134" i="6"/>
  <c r="M19" i="11"/>
  <c r="N14" i="11"/>
  <c r="O24" i="11"/>
  <c r="E27" i="11"/>
  <c r="J24" i="11"/>
  <c r="M22" i="11"/>
  <c r="M23" i="6" s="1"/>
  <c r="P9" i="11"/>
  <c r="O27" i="11"/>
  <c r="M26" i="6" s="1"/>
  <c r="E92" i="6"/>
  <c r="E71" i="6"/>
  <c r="I17" i="11"/>
  <c r="P12" i="11"/>
  <c r="M22" i="6" s="1"/>
  <c r="I14" i="11"/>
  <c r="M26" i="10"/>
  <c r="N26" i="10"/>
  <c r="O26" i="10"/>
  <c r="L26" i="10"/>
  <c r="D26" i="10"/>
  <c r="D27" i="10" s="1"/>
  <c r="E26" i="10"/>
  <c r="F26" i="10"/>
  <c r="G26" i="10"/>
  <c r="H26" i="10"/>
  <c r="I26" i="10"/>
  <c r="J26" i="10"/>
  <c r="C26" i="10"/>
  <c r="B26" i="10"/>
  <c r="E21" i="10"/>
  <c r="F21" i="10"/>
  <c r="G21" i="10"/>
  <c r="H21" i="10"/>
  <c r="I21" i="10"/>
  <c r="J21" i="10"/>
  <c r="K21" i="10"/>
  <c r="L21" i="10"/>
  <c r="M21" i="10"/>
  <c r="D21" i="10"/>
  <c r="C21" i="10"/>
  <c r="B21" i="10"/>
  <c r="L16" i="10"/>
  <c r="M16" i="10"/>
  <c r="N16" i="10"/>
  <c r="K16" i="10"/>
  <c r="I16" i="10"/>
  <c r="C16" i="10"/>
  <c r="D16" i="10"/>
  <c r="E16" i="10"/>
  <c r="F16" i="10"/>
  <c r="G16" i="10"/>
  <c r="H16" i="10"/>
  <c r="B16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B11" i="10"/>
  <c r="M25" i="6" l="1"/>
  <c r="J27" i="11"/>
  <c r="M24" i="6" s="1"/>
  <c r="F134" i="6"/>
  <c r="C4" i="11"/>
  <c r="N27" i="10"/>
  <c r="I27" i="10"/>
  <c r="L22" i="10"/>
  <c r="K22" i="10"/>
  <c r="J22" i="10"/>
  <c r="H22" i="10"/>
  <c r="I22" i="10"/>
  <c r="G22" i="10"/>
  <c r="D22" i="10"/>
  <c r="M17" i="10"/>
  <c r="G17" i="10"/>
  <c r="F17" i="10"/>
  <c r="D17" i="10"/>
  <c r="O12" i="10"/>
  <c r="N12" i="10"/>
  <c r="M12" i="10"/>
  <c r="L12" i="10"/>
  <c r="K12" i="10"/>
  <c r="J12" i="10"/>
  <c r="I12" i="10"/>
  <c r="H12" i="10"/>
  <c r="G12" i="10"/>
  <c r="E12" i="10"/>
  <c r="D12" i="10"/>
  <c r="C12" i="10"/>
  <c r="D22" i="7"/>
  <c r="M26" i="8"/>
  <c r="N26" i="8"/>
  <c r="N27" i="8" s="1"/>
  <c r="O26" i="8"/>
  <c r="L26" i="8"/>
  <c r="J26" i="8"/>
  <c r="I26" i="8"/>
  <c r="I27" i="8" s="1"/>
  <c r="H26" i="8"/>
  <c r="G26" i="8"/>
  <c r="F26" i="8"/>
  <c r="E26" i="8"/>
  <c r="D26" i="8"/>
  <c r="D27" i="8" s="1"/>
  <c r="C26" i="8"/>
  <c r="B26" i="8"/>
  <c r="C21" i="8"/>
  <c r="D21" i="8"/>
  <c r="D22" i="8" s="1"/>
  <c r="E21" i="8"/>
  <c r="F21" i="8"/>
  <c r="G21" i="8"/>
  <c r="G22" i="8" s="1"/>
  <c r="H21" i="8"/>
  <c r="H22" i="8" s="1"/>
  <c r="I21" i="8"/>
  <c r="I22" i="8" s="1"/>
  <c r="J21" i="8"/>
  <c r="J22" i="8" s="1"/>
  <c r="K21" i="8"/>
  <c r="K22" i="8" s="1"/>
  <c r="L21" i="8"/>
  <c r="L22" i="8" s="1"/>
  <c r="M21" i="8"/>
  <c r="B21" i="8"/>
  <c r="L16" i="8"/>
  <c r="M16" i="8"/>
  <c r="M17" i="8" s="1"/>
  <c r="N16" i="8"/>
  <c r="K16" i="8"/>
  <c r="P11" i="8"/>
  <c r="C16" i="8"/>
  <c r="D16" i="8"/>
  <c r="D17" i="8" s="1"/>
  <c r="F16" i="8"/>
  <c r="F17" i="8" s="1"/>
  <c r="G16" i="8"/>
  <c r="G17" i="8" s="1"/>
  <c r="H16" i="8"/>
  <c r="I16" i="8"/>
  <c r="B16" i="8"/>
  <c r="O11" i="8"/>
  <c r="O12" i="8" s="1"/>
  <c r="N11" i="8"/>
  <c r="N12" i="8" s="1"/>
  <c r="M11" i="8"/>
  <c r="M12" i="8" s="1"/>
  <c r="L11" i="8"/>
  <c r="L12" i="8" s="1"/>
  <c r="K11" i="8"/>
  <c r="K12" i="8" s="1"/>
  <c r="J11" i="8"/>
  <c r="J12" i="8" s="1"/>
  <c r="I11" i="8"/>
  <c r="I12" i="8" s="1"/>
  <c r="H11" i="8"/>
  <c r="H12" i="8" s="1"/>
  <c r="G11" i="8"/>
  <c r="G12" i="8" s="1"/>
  <c r="F11" i="8"/>
  <c r="E11" i="8"/>
  <c r="E12" i="8" s="1"/>
  <c r="D11" i="8"/>
  <c r="D12" i="8" s="1"/>
  <c r="C11" i="8"/>
  <c r="C12" i="8" s="1"/>
  <c r="B11" i="8"/>
  <c r="M26" i="7"/>
  <c r="N26" i="7"/>
  <c r="N27" i="7" s="1"/>
  <c r="O26" i="7"/>
  <c r="L26" i="7"/>
  <c r="C26" i="7"/>
  <c r="D26" i="7"/>
  <c r="E26" i="7"/>
  <c r="F26" i="7"/>
  <c r="G26" i="7"/>
  <c r="H26" i="7"/>
  <c r="I26" i="7"/>
  <c r="B26" i="7"/>
  <c r="C21" i="7"/>
  <c r="E21" i="7"/>
  <c r="F21" i="7"/>
  <c r="G21" i="7"/>
  <c r="G22" i="7" s="1"/>
  <c r="H21" i="7"/>
  <c r="H22" i="7" s="1"/>
  <c r="I21" i="7"/>
  <c r="I22" i="7" s="1"/>
  <c r="J21" i="7"/>
  <c r="J22" i="7" s="1"/>
  <c r="K21" i="7"/>
  <c r="K22" i="7" s="1"/>
  <c r="L21" i="7"/>
  <c r="L22" i="7" s="1"/>
  <c r="M21" i="7"/>
  <c r="B21" i="7"/>
  <c r="L16" i="7"/>
  <c r="M16" i="7"/>
  <c r="N16" i="7"/>
  <c r="K16" i="7"/>
  <c r="P11" i="7"/>
  <c r="I16" i="7"/>
  <c r="C16" i="7"/>
  <c r="D16" i="7"/>
  <c r="D17" i="7" s="1"/>
  <c r="F16" i="7"/>
  <c r="G16" i="7"/>
  <c r="H16" i="7"/>
  <c r="B16" i="7"/>
  <c r="C11" i="7"/>
  <c r="C12" i="7" s="1"/>
  <c r="D11" i="7"/>
  <c r="D12" i="7" s="1"/>
  <c r="E11" i="7"/>
  <c r="E12" i="7" s="1"/>
  <c r="F11" i="7"/>
  <c r="F12" i="7" s="1"/>
  <c r="G11" i="7"/>
  <c r="G12" i="7" s="1"/>
  <c r="H11" i="7"/>
  <c r="H12" i="7" s="1"/>
  <c r="I11" i="7"/>
  <c r="I12" i="7" s="1"/>
  <c r="J11" i="7"/>
  <c r="J12" i="7" s="1"/>
  <c r="K11" i="7"/>
  <c r="K12" i="7" s="1"/>
  <c r="L11" i="7"/>
  <c r="L12" i="7" s="1"/>
  <c r="M11" i="7"/>
  <c r="M12" i="7" s="1"/>
  <c r="N11" i="7"/>
  <c r="N12" i="7" s="1"/>
  <c r="O11" i="7"/>
  <c r="O12" i="7" s="1"/>
  <c r="B11" i="7"/>
  <c r="M27" i="6" l="1"/>
  <c r="M31" i="6" s="1"/>
  <c r="M14" i="10"/>
  <c r="L14" i="10"/>
  <c r="M14" i="8"/>
  <c r="L14" i="8"/>
  <c r="M14" i="7"/>
  <c r="L14" i="7"/>
  <c r="D142" i="6"/>
  <c r="E154" i="6" l="1"/>
  <c r="D154" i="6"/>
  <c r="E144" i="6"/>
  <c r="D144" i="6"/>
  <c r="E153" i="6"/>
  <c r="D153" i="6"/>
  <c r="E143" i="6"/>
  <c r="D143" i="6"/>
  <c r="D152" i="6"/>
  <c r="F133" i="6"/>
  <c r="G133" i="6"/>
  <c r="H133" i="6"/>
  <c r="I133" i="6"/>
  <c r="J133" i="6"/>
  <c r="E133" i="6"/>
  <c r="D133" i="6"/>
  <c r="E123" i="6"/>
  <c r="F123" i="6"/>
  <c r="G123" i="6"/>
  <c r="H123" i="6"/>
  <c r="I123" i="6"/>
  <c r="J123" i="6"/>
  <c r="D123" i="6"/>
  <c r="E132" i="6"/>
  <c r="F132" i="6"/>
  <c r="G132" i="6"/>
  <c r="H132" i="6"/>
  <c r="I132" i="6"/>
  <c r="J132" i="6"/>
  <c r="D132" i="6"/>
  <c r="E122" i="6"/>
  <c r="F122" i="6"/>
  <c r="G122" i="6"/>
  <c r="H122" i="6"/>
  <c r="I122" i="6"/>
  <c r="J122" i="6"/>
  <c r="D122" i="6"/>
  <c r="E131" i="6"/>
  <c r="F131" i="6"/>
  <c r="G131" i="6"/>
  <c r="H131" i="6"/>
  <c r="I131" i="6"/>
  <c r="J131" i="6"/>
  <c r="D131" i="6"/>
  <c r="E121" i="6"/>
  <c r="F121" i="6"/>
  <c r="G121" i="6"/>
  <c r="H121" i="6"/>
  <c r="I121" i="6"/>
  <c r="J121" i="6"/>
  <c r="D121" i="6"/>
  <c r="E112" i="6"/>
  <c r="D112" i="6"/>
  <c r="E102" i="6"/>
  <c r="D102" i="6"/>
  <c r="E111" i="6"/>
  <c r="D111" i="6"/>
  <c r="E101" i="6"/>
  <c r="D101" i="6"/>
  <c r="E110" i="6"/>
  <c r="D110" i="6"/>
  <c r="E100" i="6"/>
  <c r="D100" i="6"/>
  <c r="E91" i="6"/>
  <c r="F91" i="6"/>
  <c r="G91" i="6"/>
  <c r="H91" i="6"/>
  <c r="I91" i="6"/>
  <c r="J91" i="6"/>
  <c r="K91" i="6"/>
  <c r="L91" i="6"/>
  <c r="M91" i="6"/>
  <c r="D91" i="6"/>
  <c r="E81" i="6"/>
  <c r="F81" i="6"/>
  <c r="G81" i="6"/>
  <c r="H81" i="6"/>
  <c r="I81" i="6"/>
  <c r="J81" i="6"/>
  <c r="K81" i="6"/>
  <c r="L81" i="6"/>
  <c r="M81" i="6"/>
  <c r="D81" i="6"/>
  <c r="E90" i="6"/>
  <c r="F90" i="6"/>
  <c r="G90" i="6"/>
  <c r="H90" i="6"/>
  <c r="I90" i="6"/>
  <c r="J90" i="6"/>
  <c r="K90" i="6"/>
  <c r="L90" i="6"/>
  <c r="M90" i="6"/>
  <c r="D90" i="6"/>
  <c r="E80" i="6"/>
  <c r="F80" i="6"/>
  <c r="G80" i="6"/>
  <c r="H80" i="6"/>
  <c r="I80" i="6"/>
  <c r="J80" i="6"/>
  <c r="K80" i="6"/>
  <c r="L80" i="6"/>
  <c r="M80" i="6"/>
  <c r="D80" i="6"/>
  <c r="E89" i="6"/>
  <c r="F89" i="6"/>
  <c r="G89" i="6"/>
  <c r="H89" i="6"/>
  <c r="I89" i="6"/>
  <c r="J89" i="6"/>
  <c r="K89" i="6"/>
  <c r="L89" i="6"/>
  <c r="M89" i="6"/>
  <c r="D89" i="6"/>
  <c r="H79" i="6"/>
  <c r="I79" i="6"/>
  <c r="J79" i="6"/>
  <c r="K79" i="6"/>
  <c r="L79" i="6"/>
  <c r="M79" i="6"/>
  <c r="E79" i="6"/>
  <c r="F79" i="6"/>
  <c r="G79" i="6"/>
  <c r="D79" i="6"/>
  <c r="E70" i="6"/>
  <c r="F70" i="6"/>
  <c r="G70" i="6"/>
  <c r="H70" i="6"/>
  <c r="I70" i="6"/>
  <c r="D70" i="6"/>
  <c r="E60" i="6"/>
  <c r="F60" i="6"/>
  <c r="G60" i="6"/>
  <c r="H60" i="6"/>
  <c r="I60" i="6"/>
  <c r="D60" i="6"/>
  <c r="E69" i="6"/>
  <c r="F69" i="6"/>
  <c r="G69" i="6"/>
  <c r="H69" i="6"/>
  <c r="I69" i="6"/>
  <c r="D69" i="6"/>
  <c r="E59" i="6"/>
  <c r="F59" i="6"/>
  <c r="G59" i="6"/>
  <c r="H59" i="6"/>
  <c r="I59" i="6"/>
  <c r="D59" i="6"/>
  <c r="E68" i="6"/>
  <c r="F68" i="6"/>
  <c r="G68" i="6"/>
  <c r="H68" i="6"/>
  <c r="I68" i="6"/>
  <c r="D68" i="6"/>
  <c r="E58" i="6"/>
  <c r="F58" i="6"/>
  <c r="G58" i="6"/>
  <c r="H58" i="6"/>
  <c r="I58" i="6"/>
  <c r="D58" i="6"/>
  <c r="E49" i="6"/>
  <c r="F49" i="6"/>
  <c r="G49" i="6"/>
  <c r="H49" i="6"/>
  <c r="I49" i="6"/>
  <c r="J49" i="6"/>
  <c r="K49" i="6"/>
  <c r="L49" i="6"/>
  <c r="M49" i="6"/>
  <c r="N49" i="6"/>
  <c r="O49" i="6"/>
  <c r="P49" i="6"/>
  <c r="D49" i="6"/>
  <c r="E39" i="6"/>
  <c r="F39" i="6"/>
  <c r="G39" i="6"/>
  <c r="H39" i="6"/>
  <c r="I39" i="6"/>
  <c r="D39" i="6"/>
  <c r="E48" i="6"/>
  <c r="F48" i="6"/>
  <c r="G48" i="6"/>
  <c r="H48" i="6"/>
  <c r="I48" i="6"/>
  <c r="J48" i="6"/>
  <c r="K48" i="6"/>
  <c r="L48" i="6"/>
  <c r="M48" i="6"/>
  <c r="N48" i="6"/>
  <c r="O48" i="6"/>
  <c r="P48" i="6"/>
  <c r="D48" i="6"/>
  <c r="E38" i="6"/>
  <c r="F38" i="6"/>
  <c r="G38" i="6"/>
  <c r="H38" i="6"/>
  <c r="I38" i="6"/>
  <c r="D38" i="6"/>
  <c r="E47" i="6"/>
  <c r="F47" i="6"/>
  <c r="H47" i="6"/>
  <c r="I47" i="6"/>
  <c r="J47" i="6"/>
  <c r="K47" i="6"/>
  <c r="L47" i="6"/>
  <c r="M47" i="6"/>
  <c r="N47" i="6"/>
  <c r="O47" i="6"/>
  <c r="P47" i="6"/>
  <c r="D47" i="6"/>
  <c r="E37" i="6"/>
  <c r="F37" i="6"/>
  <c r="G37" i="6"/>
  <c r="H37" i="6"/>
  <c r="I37" i="6"/>
  <c r="C9" i="10"/>
  <c r="D9" i="7"/>
  <c r="E9" i="7"/>
  <c r="F9" i="7"/>
  <c r="G9" i="7"/>
  <c r="H9" i="7"/>
  <c r="I9" i="7"/>
  <c r="J9" i="7"/>
  <c r="K9" i="7"/>
  <c r="L9" i="7"/>
  <c r="M9" i="7"/>
  <c r="N9" i="7"/>
  <c r="O9" i="7"/>
  <c r="N24" i="10" l="1"/>
  <c r="M24" i="10"/>
  <c r="I24" i="10"/>
  <c r="H24" i="10"/>
  <c r="G24" i="10"/>
  <c r="F24" i="10"/>
  <c r="E24" i="10"/>
  <c r="D24" i="10"/>
  <c r="C24" i="10"/>
  <c r="R27" i="10"/>
  <c r="N17" i="10"/>
  <c r="R20" i="10"/>
  <c r="R25" i="10" s="1"/>
  <c r="L19" i="10"/>
  <c r="K19" i="10"/>
  <c r="J19" i="10"/>
  <c r="I19" i="10"/>
  <c r="H19" i="10"/>
  <c r="G19" i="10"/>
  <c r="F19" i="10"/>
  <c r="D19" i="10"/>
  <c r="C19" i="10"/>
  <c r="H14" i="10"/>
  <c r="G14" i="10"/>
  <c r="F14" i="10"/>
  <c r="D14" i="10"/>
  <c r="C14" i="10"/>
  <c r="O10" i="10"/>
  <c r="P39" i="6" s="1"/>
  <c r="N10" i="10"/>
  <c r="O39" i="6" s="1"/>
  <c r="M10" i="10"/>
  <c r="N39" i="6" s="1"/>
  <c r="L10" i="10"/>
  <c r="M39" i="6" s="1"/>
  <c r="K10" i="10"/>
  <c r="L39" i="6" s="1"/>
  <c r="J10" i="10"/>
  <c r="K39" i="6" s="1"/>
  <c r="I10" i="10"/>
  <c r="J39" i="6" s="1"/>
  <c r="O9" i="10"/>
  <c r="N9" i="10"/>
  <c r="M9" i="10"/>
  <c r="L9" i="10"/>
  <c r="K9" i="10"/>
  <c r="J9" i="10"/>
  <c r="I9" i="10"/>
  <c r="H9" i="10"/>
  <c r="G9" i="10"/>
  <c r="F9" i="10"/>
  <c r="E9" i="10"/>
  <c r="D9" i="10"/>
  <c r="O27" i="10" l="1"/>
  <c r="L26" i="6" s="1"/>
  <c r="M22" i="10"/>
  <c r="L23" i="6" s="1"/>
  <c r="M19" i="10"/>
  <c r="O24" i="10"/>
  <c r="I14" i="10"/>
  <c r="I17" i="10"/>
  <c r="L25" i="6" s="1"/>
  <c r="J27" i="10"/>
  <c r="L24" i="6" s="1"/>
  <c r="J24" i="10"/>
  <c r="N14" i="10"/>
  <c r="P12" i="10"/>
  <c r="L22" i="6" s="1"/>
  <c r="P9" i="10"/>
  <c r="N24" i="8"/>
  <c r="D24" i="8"/>
  <c r="E24" i="8"/>
  <c r="F24" i="8"/>
  <c r="G24" i="8"/>
  <c r="H24" i="8"/>
  <c r="I24" i="8"/>
  <c r="N17" i="8"/>
  <c r="D19" i="8"/>
  <c r="E19" i="8"/>
  <c r="F19" i="8"/>
  <c r="G19" i="8"/>
  <c r="H19" i="8"/>
  <c r="I19" i="8"/>
  <c r="J19" i="8"/>
  <c r="K19" i="8"/>
  <c r="L19" i="8"/>
  <c r="D14" i="8"/>
  <c r="F14" i="8"/>
  <c r="G14" i="8"/>
  <c r="H14" i="8"/>
  <c r="C14" i="8"/>
  <c r="D9" i="8"/>
  <c r="E9" i="8"/>
  <c r="F9" i="8"/>
  <c r="G9" i="8"/>
  <c r="H9" i="8"/>
  <c r="I9" i="8"/>
  <c r="J9" i="8"/>
  <c r="K9" i="8"/>
  <c r="L9" i="8"/>
  <c r="M9" i="8"/>
  <c r="N9" i="8"/>
  <c r="O9" i="8"/>
  <c r="M24" i="8"/>
  <c r="C24" i="8"/>
  <c r="C19" i="8"/>
  <c r="C9" i="8"/>
  <c r="N24" i="7"/>
  <c r="O27" i="7" s="1"/>
  <c r="M24" i="7"/>
  <c r="D24" i="7"/>
  <c r="E24" i="7"/>
  <c r="F24" i="7"/>
  <c r="G24" i="7"/>
  <c r="H24" i="7"/>
  <c r="I24" i="7"/>
  <c r="C24" i="7"/>
  <c r="D19" i="7"/>
  <c r="E19" i="7"/>
  <c r="F19" i="7"/>
  <c r="G19" i="7"/>
  <c r="H19" i="7"/>
  <c r="I19" i="7"/>
  <c r="J19" i="7"/>
  <c r="K19" i="7"/>
  <c r="L19" i="7"/>
  <c r="C19" i="7"/>
  <c r="D14" i="7"/>
  <c r="F14" i="7"/>
  <c r="G14" i="7"/>
  <c r="H14" i="7"/>
  <c r="C14" i="7"/>
  <c r="C9" i="7"/>
  <c r="N10" i="8"/>
  <c r="O38" i="6" s="1"/>
  <c r="R27" i="8"/>
  <c r="R20" i="8"/>
  <c r="R25" i="8" s="1"/>
  <c r="K10" i="8"/>
  <c r="L38" i="6" s="1"/>
  <c r="J10" i="8"/>
  <c r="K38" i="6" s="1"/>
  <c r="I10" i="8"/>
  <c r="J38" i="6" s="1"/>
  <c r="J24" i="6"/>
  <c r="O10" i="8"/>
  <c r="P38" i="6" s="1"/>
  <c r="M10" i="8"/>
  <c r="N38" i="6" s="1"/>
  <c r="K10" i="7"/>
  <c r="L37" i="6" s="1"/>
  <c r="C10" i="7"/>
  <c r="L10" i="7" s="1"/>
  <c r="M37" i="6" s="1"/>
  <c r="D4" i="6"/>
  <c r="J33" i="6" s="1"/>
  <c r="F8" i="6" s="1"/>
  <c r="K16" i="6"/>
  <c r="J16" i="6"/>
  <c r="F11" i="6" l="1"/>
  <c r="F13" i="6"/>
  <c r="F12" i="6"/>
  <c r="F26" i="1"/>
  <c r="I28" i="1"/>
  <c r="D13" i="1"/>
  <c r="F9" i="6"/>
  <c r="F6" i="6"/>
  <c r="F7" i="6"/>
  <c r="F5" i="6"/>
  <c r="F10" i="6"/>
  <c r="F14" i="6"/>
  <c r="O27" i="8"/>
  <c r="K26" i="6" s="1"/>
  <c r="L27" i="6"/>
  <c r="L31" i="6" s="1"/>
  <c r="M22" i="7"/>
  <c r="J23" i="6" s="1"/>
  <c r="O10" i="7"/>
  <c r="P37" i="6" s="1"/>
  <c r="D37" i="6"/>
  <c r="O24" i="8"/>
  <c r="M22" i="8"/>
  <c r="K23" i="6" s="1"/>
  <c r="I14" i="7"/>
  <c r="I17" i="7"/>
  <c r="J25" i="6" s="1"/>
  <c r="I17" i="8"/>
  <c r="K25" i="6" s="1"/>
  <c r="I14" i="8"/>
  <c r="J27" i="8"/>
  <c r="K24" i="6" s="1"/>
  <c r="M19" i="7"/>
  <c r="M19" i="8"/>
  <c r="J17" i="6"/>
  <c r="D13" i="6" s="1"/>
  <c r="J24" i="7"/>
  <c r="J24" i="8"/>
  <c r="C4" i="10"/>
  <c r="N14" i="8"/>
  <c r="P12" i="8"/>
  <c r="K22" i="6" s="1"/>
  <c r="O24" i="7"/>
  <c r="N14" i="7"/>
  <c r="F4" i="6"/>
  <c r="L10" i="8"/>
  <c r="M38" i="6" s="1"/>
  <c r="I10" i="7"/>
  <c r="J10" i="7"/>
  <c r="K37" i="6" s="1"/>
  <c r="M10" i="7"/>
  <c r="N37" i="6" s="1"/>
  <c r="N10" i="7"/>
  <c r="O37" i="6" s="1"/>
  <c r="C16" i="6"/>
  <c r="K27" i="6" l="1"/>
  <c r="K31" i="6" s="1"/>
  <c r="N26" i="1"/>
  <c r="M18" i="1"/>
  <c r="M28" i="1"/>
  <c r="O13" i="1"/>
  <c r="G13" i="1"/>
  <c r="D18" i="1"/>
  <c r="F23" i="1"/>
  <c r="M16" i="1"/>
  <c r="N13" i="1"/>
  <c r="C18" i="1"/>
  <c r="E23" i="1"/>
  <c r="L16" i="1"/>
  <c r="H28" i="1"/>
  <c r="M13" i="1"/>
  <c r="E13" i="1"/>
  <c r="L23" i="1"/>
  <c r="C23" i="1"/>
  <c r="G28" i="1"/>
  <c r="L18" i="1"/>
  <c r="F28" i="1"/>
  <c r="K13" i="1"/>
  <c r="H18" i="1"/>
  <c r="J23" i="1"/>
  <c r="I23" i="1"/>
  <c r="H13" i="1"/>
  <c r="E18" i="1"/>
  <c r="L13" i="1"/>
  <c r="E28" i="1"/>
  <c r="J13" i="1"/>
  <c r="G18" i="1"/>
  <c r="C13" i="1"/>
  <c r="C28" i="1"/>
  <c r="M26" i="1"/>
  <c r="K23" i="1"/>
  <c r="D28" i="1"/>
  <c r="I13" i="1"/>
  <c r="F18" i="1"/>
  <c r="H23" i="1"/>
  <c r="N28" i="1"/>
  <c r="G23" i="1"/>
  <c r="D23" i="1"/>
  <c r="P9" i="7"/>
  <c r="C4" i="7" s="1"/>
  <c r="J37" i="6"/>
  <c r="I11" i="1" s="1"/>
  <c r="J11" i="1"/>
  <c r="K21" i="1"/>
  <c r="F11" i="1"/>
  <c r="G16" i="1"/>
  <c r="C11" i="1"/>
  <c r="F16" i="1"/>
  <c r="D26" i="1"/>
  <c r="G26" i="1"/>
  <c r="E16" i="1"/>
  <c r="I21" i="1"/>
  <c r="F21" i="1"/>
  <c r="D11" i="1"/>
  <c r="M11" i="1"/>
  <c r="H11" i="1"/>
  <c r="H26" i="1"/>
  <c r="E11" i="1"/>
  <c r="O11" i="1"/>
  <c r="C21" i="1"/>
  <c r="H21" i="1"/>
  <c r="L21" i="1"/>
  <c r="L11" i="1"/>
  <c r="G11" i="1"/>
  <c r="D16" i="1"/>
  <c r="E21" i="1"/>
  <c r="G21" i="1"/>
  <c r="D21" i="1"/>
  <c r="K11" i="1"/>
  <c r="N11" i="1"/>
  <c r="C16" i="1"/>
  <c r="E26" i="1"/>
  <c r="J21" i="1"/>
  <c r="H16" i="1"/>
  <c r="C26" i="1"/>
  <c r="I26" i="1"/>
  <c r="D5" i="6"/>
  <c r="D16" i="6"/>
  <c r="D14" i="6"/>
  <c r="D9" i="6"/>
  <c r="D8" i="6"/>
  <c r="D10" i="6"/>
  <c r="D7" i="6"/>
  <c r="D11" i="6"/>
  <c r="D12" i="6"/>
  <c r="D6" i="6"/>
  <c r="P9" i="8"/>
  <c r="C4" i="8" s="1"/>
  <c r="N15" i="1" l="1"/>
  <c r="O28" i="1"/>
  <c r="N18" i="1"/>
  <c r="O25" i="1"/>
  <c r="M20" i="1"/>
  <c r="I18" i="1"/>
  <c r="J28" i="1"/>
  <c r="P10" i="1"/>
  <c r="J25" i="1"/>
  <c r="I15" i="1"/>
  <c r="M23" i="1"/>
  <c r="C4" i="1" l="1"/>
  <c r="G47" i="6"/>
  <c r="F13" i="1"/>
  <c r="P13" i="1" s="1"/>
  <c r="P12" i="7"/>
  <c r="J22" i="6" s="1"/>
  <c r="J27" i="6" l="1"/>
  <c r="J31" i="6" l="1"/>
  <c r="E10" i="6"/>
  <c r="G10" i="6" s="1"/>
  <c r="R18" i="1" s="1"/>
  <c r="E14" i="6"/>
  <c r="G14" i="6" s="1"/>
  <c r="E13" i="6"/>
  <c r="G13" i="6" s="1"/>
  <c r="R21" i="1" s="1"/>
  <c r="E12" i="6"/>
  <c r="G12" i="6" s="1"/>
  <c r="R20" i="1" s="1"/>
  <c r="E9" i="6"/>
  <c r="G9" i="6" s="1"/>
  <c r="R17" i="1" s="1"/>
  <c r="E6" i="6"/>
  <c r="G6" i="6" s="1"/>
  <c r="R14" i="1" s="1"/>
  <c r="E11" i="6"/>
  <c r="G11" i="6" s="1"/>
  <c r="R19" i="1" s="1"/>
  <c r="E8" i="6"/>
  <c r="G8" i="6" s="1"/>
  <c r="R16" i="1" s="1"/>
  <c r="E7" i="6"/>
  <c r="G7" i="6" s="1"/>
  <c r="E5" i="6"/>
  <c r="G5" i="6" s="1"/>
  <c r="R13" i="1" s="1"/>
  <c r="R15" i="1" l="1"/>
  <c r="R22" i="1" s="1"/>
  <c r="G16" i="6"/>
  <c r="O4" i="1" l="1"/>
  <c r="R12" i="1" s="1"/>
  <c r="O3" i="1"/>
  <c r="S9" i="1"/>
  <c r="J4" i="10"/>
  <c r="J4" i="11"/>
  <c r="J4" i="7"/>
  <c r="J4" i="8"/>
  <c r="E5" i="10" l="1"/>
  <c r="J5" i="10" s="1"/>
  <c r="L32" i="6"/>
  <c r="K32" i="6"/>
  <c r="E5" i="8"/>
  <c r="J5" i="8" s="1"/>
  <c r="E5" i="11"/>
  <c r="J5" i="11" s="1"/>
  <c r="M32" i="6"/>
  <c r="E5" i="7"/>
  <c r="J32" i="6"/>
  <c r="R11" i="1"/>
  <c r="R23" i="1" s="1"/>
  <c r="J4" i="1" s="1"/>
  <c r="S10" i="1"/>
  <c r="S11" i="1" s="1"/>
  <c r="S1" i="1"/>
  <c r="F16" i="6" l="1"/>
  <c r="E5" i="1"/>
  <c r="J5" i="1" s="1"/>
  <c r="H4" i="1"/>
  <c r="O4" i="11"/>
  <c r="M5" i="11"/>
  <c r="H4" i="7"/>
  <c r="H4" i="11"/>
  <c r="H4" i="8"/>
  <c r="H4" i="10"/>
  <c r="O4" i="8"/>
  <c r="M5" i="8"/>
  <c r="M5" i="10"/>
  <c r="O4" i="10"/>
  <c r="J5" i="7"/>
  <c r="M5" i="7" s="1"/>
  <c r="O4" i="7"/>
  <c r="B5" i="8" l="1"/>
  <c r="B5" i="11"/>
  <c r="B5" i="7"/>
  <c r="B5" i="10"/>
  <c r="O5" i="1"/>
  <c r="B5" i="1" s="1"/>
  <c r="P7" i="1" s="1"/>
  <c r="J3" i="1"/>
</calcChain>
</file>

<file path=xl/sharedStrings.xml><?xml version="1.0" encoding="utf-8"?>
<sst xmlns="http://schemas.openxmlformats.org/spreadsheetml/2006/main" count="614" uniqueCount="106">
  <si>
    <t>屋根断熱</t>
    <rPh sb="0" eb="2">
      <t>ヤネ</t>
    </rPh>
    <rPh sb="2" eb="4">
      <t>ダンネツ</t>
    </rPh>
    <phoneticPr fontId="2"/>
  </si>
  <si>
    <t>外壁断熱</t>
    <rPh sb="0" eb="2">
      <t>ガイヘキ</t>
    </rPh>
    <rPh sb="2" eb="4">
      <t>ダンネツ</t>
    </rPh>
    <phoneticPr fontId="2"/>
  </si>
  <si>
    <t>複層ガラス</t>
    <rPh sb="0" eb="2">
      <t>フクソウ</t>
    </rPh>
    <phoneticPr fontId="2"/>
  </si>
  <si>
    <t>ブラインド</t>
    <phoneticPr fontId="2"/>
  </si>
  <si>
    <t>屋根、外壁断熱</t>
    <rPh sb="0" eb="2">
      <t>ヤネ</t>
    </rPh>
    <rPh sb="3" eb="5">
      <t>ガイヘキ</t>
    </rPh>
    <rPh sb="5" eb="7">
      <t>ダンネツ</t>
    </rPh>
    <phoneticPr fontId="2"/>
  </si>
  <si>
    <t>屋根、複層ガラス</t>
    <rPh sb="0" eb="2">
      <t>ヤネ</t>
    </rPh>
    <rPh sb="3" eb="5">
      <t>フクソウ</t>
    </rPh>
    <phoneticPr fontId="2"/>
  </si>
  <si>
    <t>屋根、複層ガラス、ブラインド</t>
    <rPh sb="0" eb="2">
      <t>ヤネ</t>
    </rPh>
    <rPh sb="3" eb="5">
      <t>フクソウ</t>
    </rPh>
    <phoneticPr fontId="2"/>
  </si>
  <si>
    <t>屋根、外壁、複層ガラス、ブラインド</t>
    <rPh sb="0" eb="2">
      <t>ヤネ</t>
    </rPh>
    <rPh sb="3" eb="5">
      <t>ガイヘキ</t>
    </rPh>
    <rPh sb="6" eb="8">
      <t>フクソウ</t>
    </rPh>
    <phoneticPr fontId="2"/>
  </si>
  <si>
    <t>屋根、外壁、複層ガラス</t>
    <rPh sb="0" eb="2">
      <t>ヤネ</t>
    </rPh>
    <rPh sb="3" eb="5">
      <t>ガイヘキ</t>
    </rPh>
    <rPh sb="6" eb="8">
      <t>フクソウ</t>
    </rPh>
    <phoneticPr fontId="2"/>
  </si>
  <si>
    <t>外壁、複層ガラス</t>
    <rPh sb="0" eb="2">
      <t>ガイヘキ</t>
    </rPh>
    <rPh sb="3" eb="5">
      <t>フクソウ</t>
    </rPh>
    <phoneticPr fontId="2"/>
  </si>
  <si>
    <t>選択</t>
    <rPh sb="0" eb="2">
      <t>センタク</t>
    </rPh>
    <phoneticPr fontId="2"/>
  </si>
  <si>
    <t>省エネ率</t>
    <rPh sb="0" eb="1">
      <t>ショウ</t>
    </rPh>
    <rPh sb="3" eb="4">
      <t>リツ</t>
    </rPh>
    <phoneticPr fontId="2"/>
  </si>
  <si>
    <t>標準機</t>
    <rPh sb="0" eb="2">
      <t>ヒョウジュン</t>
    </rPh>
    <rPh sb="2" eb="3">
      <t>キ</t>
    </rPh>
    <phoneticPr fontId="2"/>
  </si>
  <si>
    <t>全熱交換器</t>
    <rPh sb="0" eb="1">
      <t>ゼン</t>
    </rPh>
    <rPh sb="1" eb="2">
      <t>ネツ</t>
    </rPh>
    <rPh sb="2" eb="5">
      <t>コウカンキ</t>
    </rPh>
    <phoneticPr fontId="2"/>
  </si>
  <si>
    <t>外皮</t>
    <rPh sb="0" eb="2">
      <t>ガイヒ</t>
    </rPh>
    <phoneticPr fontId="2"/>
  </si>
  <si>
    <t>空調</t>
    <rPh sb="0" eb="2">
      <t>クウチョウ</t>
    </rPh>
    <phoneticPr fontId="2"/>
  </si>
  <si>
    <t>照明</t>
    <rPh sb="0" eb="2">
      <t>ショウメイ</t>
    </rPh>
    <phoneticPr fontId="2"/>
  </si>
  <si>
    <t>在室制御</t>
    <rPh sb="0" eb="2">
      <t>ザイシツ</t>
    </rPh>
    <rPh sb="2" eb="4">
      <t>セイギョ</t>
    </rPh>
    <phoneticPr fontId="2"/>
  </si>
  <si>
    <t>スケジュール</t>
    <phoneticPr fontId="2"/>
  </si>
  <si>
    <t>調光制御　　　一部</t>
    <rPh sb="0" eb="2">
      <t>チョウコウ</t>
    </rPh>
    <rPh sb="2" eb="4">
      <t>セイギョ</t>
    </rPh>
    <rPh sb="7" eb="9">
      <t>イチブ</t>
    </rPh>
    <phoneticPr fontId="2"/>
  </si>
  <si>
    <t>在室、スケ、全部調光制御</t>
    <rPh sb="0" eb="2">
      <t>ザイシツ</t>
    </rPh>
    <rPh sb="6" eb="8">
      <t>ゼンブ</t>
    </rPh>
    <rPh sb="8" eb="10">
      <t>チョウコウ</t>
    </rPh>
    <rPh sb="10" eb="12">
      <t>セイギョ</t>
    </rPh>
    <phoneticPr fontId="2"/>
  </si>
  <si>
    <t>全部調光制御</t>
    <rPh sb="0" eb="2">
      <t>ゼンブ</t>
    </rPh>
    <rPh sb="2" eb="4">
      <t>チョウコウ</t>
    </rPh>
    <rPh sb="4" eb="6">
      <t>セイギョ</t>
    </rPh>
    <phoneticPr fontId="2"/>
  </si>
  <si>
    <t>高効率ファン</t>
    <rPh sb="0" eb="3">
      <t>コウコウリツ</t>
    </rPh>
    <phoneticPr fontId="2"/>
  </si>
  <si>
    <t>換気</t>
    <rPh sb="0" eb="2">
      <t>カンキ</t>
    </rPh>
    <phoneticPr fontId="2"/>
  </si>
  <si>
    <t>給湯</t>
    <rPh sb="0" eb="2">
      <t>キュウトウ</t>
    </rPh>
    <phoneticPr fontId="2"/>
  </si>
  <si>
    <t>HP給湯</t>
    <rPh sb="2" eb="4">
      <t>キュウトウ</t>
    </rPh>
    <phoneticPr fontId="2"/>
  </si>
  <si>
    <t>潜熱回収器</t>
    <rPh sb="0" eb="2">
      <t>センネツ</t>
    </rPh>
    <rPh sb="2" eb="4">
      <t>カイシュウ</t>
    </rPh>
    <rPh sb="4" eb="5">
      <t>キ</t>
    </rPh>
    <phoneticPr fontId="2"/>
  </si>
  <si>
    <t>自動水栓</t>
    <rPh sb="0" eb="2">
      <t>ジドウ</t>
    </rPh>
    <rPh sb="2" eb="4">
      <t>スイセン</t>
    </rPh>
    <phoneticPr fontId="2"/>
  </si>
  <si>
    <t>屋上、ブラインド</t>
    <rPh sb="0" eb="2">
      <t>オクジョウ</t>
    </rPh>
    <phoneticPr fontId="2"/>
  </si>
  <si>
    <t>昇降機</t>
    <rPh sb="0" eb="3">
      <t>ショウコウキ</t>
    </rPh>
    <phoneticPr fontId="2"/>
  </si>
  <si>
    <t>VAV機</t>
    <rPh sb="3" eb="4">
      <t>キ</t>
    </rPh>
    <phoneticPr fontId="2"/>
  </si>
  <si>
    <t>合計省エネ率</t>
    <rPh sb="0" eb="2">
      <t>ゴウケイ</t>
    </rPh>
    <rPh sb="2" eb="3">
      <t>ショウ</t>
    </rPh>
    <rPh sb="5" eb="6">
      <t>リツ</t>
    </rPh>
    <phoneticPr fontId="2"/>
  </si>
  <si>
    <t>太陽熱利用</t>
    <rPh sb="0" eb="3">
      <t>タイヨウネツ</t>
    </rPh>
    <rPh sb="3" eb="5">
      <t>リヨウ</t>
    </rPh>
    <phoneticPr fontId="2"/>
  </si>
  <si>
    <t>費用アップ率</t>
    <rPh sb="0" eb="2">
      <t>ヒヨウ</t>
    </rPh>
    <rPh sb="5" eb="6">
      <t>リツ</t>
    </rPh>
    <phoneticPr fontId="2"/>
  </si>
  <si>
    <t>建築工事仕上げ</t>
    <rPh sb="0" eb="2">
      <t>ケンチク</t>
    </rPh>
    <rPh sb="2" eb="4">
      <t>コウジ</t>
    </rPh>
    <rPh sb="4" eb="6">
      <t>シア</t>
    </rPh>
    <phoneticPr fontId="2"/>
  </si>
  <si>
    <t>電気工事（照明）</t>
    <rPh sb="0" eb="2">
      <t>デンキ</t>
    </rPh>
    <rPh sb="2" eb="4">
      <t>コウジ</t>
    </rPh>
    <rPh sb="5" eb="7">
      <t>ショウメイ</t>
    </rPh>
    <phoneticPr fontId="2"/>
  </si>
  <si>
    <t>衛生工事（給湯）</t>
    <rPh sb="0" eb="2">
      <t>エイセイ</t>
    </rPh>
    <rPh sb="2" eb="4">
      <t>コウジ</t>
    </rPh>
    <rPh sb="5" eb="7">
      <t>キュウトウ</t>
    </rPh>
    <phoneticPr fontId="2"/>
  </si>
  <si>
    <t>空調設備（空調・換気）</t>
    <rPh sb="0" eb="2">
      <t>クウチョウ</t>
    </rPh>
    <rPh sb="2" eb="4">
      <t>セツビ</t>
    </rPh>
    <rPh sb="5" eb="7">
      <t>クウチョウ</t>
    </rPh>
    <rPh sb="8" eb="10">
      <t>カンキ</t>
    </rPh>
    <phoneticPr fontId="2"/>
  </si>
  <si>
    <t>仮設</t>
    <rPh sb="0" eb="2">
      <t>カセツ</t>
    </rPh>
    <phoneticPr fontId="2"/>
  </si>
  <si>
    <t>地業</t>
    <rPh sb="0" eb="2">
      <t>チギョウ</t>
    </rPh>
    <phoneticPr fontId="2"/>
  </si>
  <si>
    <t>躯体</t>
    <rPh sb="0" eb="2">
      <t>クタイ</t>
    </rPh>
    <phoneticPr fontId="2"/>
  </si>
  <si>
    <t>諸経費</t>
    <rPh sb="0" eb="3">
      <t>ショケイヒ</t>
    </rPh>
    <phoneticPr fontId="2"/>
  </si>
  <si>
    <t>合計</t>
    <rPh sb="0" eb="2">
      <t>ゴウケイ</t>
    </rPh>
    <phoneticPr fontId="2"/>
  </si>
  <si>
    <t>㎡単価</t>
    <rPh sb="1" eb="3">
      <t>タンカ</t>
    </rPh>
    <phoneticPr fontId="2"/>
  </si>
  <si>
    <t>土木</t>
    <rPh sb="0" eb="2">
      <t>ドボク</t>
    </rPh>
    <phoneticPr fontId="2"/>
  </si>
  <si>
    <t>基準</t>
    <rPh sb="0" eb="2">
      <t>キジュン</t>
    </rPh>
    <phoneticPr fontId="2"/>
  </si>
  <si>
    <t>ルーバー</t>
    <phoneticPr fontId="2"/>
  </si>
  <si>
    <t>庇</t>
    <rPh sb="0" eb="1">
      <t>ヒサシ</t>
    </rPh>
    <phoneticPr fontId="2"/>
  </si>
  <si>
    <t>アップ額</t>
    <rPh sb="3" eb="4">
      <t>ガク</t>
    </rPh>
    <phoneticPr fontId="2"/>
  </si>
  <si>
    <t>高効率機へ変更</t>
    <rPh sb="0" eb="3">
      <t>コウコウリツ</t>
    </rPh>
    <rPh sb="3" eb="4">
      <t>キ</t>
    </rPh>
    <rPh sb="5" eb="7">
      <t>ヘンコウ</t>
    </rPh>
    <phoneticPr fontId="2"/>
  </si>
  <si>
    <t>当初から高効率機</t>
    <rPh sb="0" eb="2">
      <t>トウショ</t>
    </rPh>
    <rPh sb="4" eb="7">
      <t>コウコウリツ</t>
    </rPh>
    <rPh sb="7" eb="8">
      <t>キ</t>
    </rPh>
    <phoneticPr fontId="2"/>
  </si>
  <si>
    <t>LEDへ変更</t>
    <rPh sb="4" eb="6">
      <t>ヘンコウ</t>
    </rPh>
    <phoneticPr fontId="2"/>
  </si>
  <si>
    <t>当初からLED</t>
    <rPh sb="0" eb="2">
      <t>トウショ</t>
    </rPh>
    <phoneticPr fontId="2"/>
  </si>
  <si>
    <t>在室、スケ、一部調光制御（部分）</t>
    <rPh sb="0" eb="2">
      <t>ザイシツ</t>
    </rPh>
    <rPh sb="6" eb="8">
      <t>イチブ</t>
    </rPh>
    <rPh sb="8" eb="10">
      <t>チョウコウ</t>
    </rPh>
    <rPh sb="10" eb="12">
      <t>セイギョ</t>
    </rPh>
    <rPh sb="13" eb="15">
      <t>ブブン</t>
    </rPh>
    <phoneticPr fontId="2"/>
  </si>
  <si>
    <t>全熱交換器バイパス制御</t>
    <rPh sb="9" eb="11">
      <t>セイギョ</t>
    </rPh>
    <phoneticPr fontId="2"/>
  </si>
  <si>
    <t>アップ率</t>
    <rPh sb="3" eb="4">
      <t>リツ</t>
    </rPh>
    <phoneticPr fontId="2"/>
  </si>
  <si>
    <t>予定総費用</t>
    <rPh sb="0" eb="2">
      <t>ヨテイ</t>
    </rPh>
    <rPh sb="2" eb="5">
      <t>ソウヒヨウ</t>
    </rPh>
    <phoneticPr fontId="2"/>
  </si>
  <si>
    <t>アップ額込み費用</t>
    <rPh sb="3" eb="4">
      <t>ガク</t>
    </rPh>
    <rPh sb="4" eb="5">
      <t>コ</t>
    </rPh>
    <rPh sb="6" eb="8">
      <t>ヒヨウ</t>
    </rPh>
    <phoneticPr fontId="2"/>
  </si>
  <si>
    <t>対象費用率</t>
    <rPh sb="0" eb="2">
      <t>タイショウ</t>
    </rPh>
    <rPh sb="2" eb="4">
      <t>ヒヨウ</t>
    </rPh>
    <rPh sb="4" eb="5">
      <t>リツ</t>
    </rPh>
    <phoneticPr fontId="2"/>
  </si>
  <si>
    <t>補助金額</t>
    <rPh sb="0" eb="3">
      <t>ホジョキン</t>
    </rPh>
    <rPh sb="3" eb="4">
      <t>ガク</t>
    </rPh>
    <phoneticPr fontId="2"/>
  </si>
  <si>
    <t>ZEBプランナー費用+申請報酬</t>
    <rPh sb="8" eb="10">
      <t>ヒヨウ</t>
    </rPh>
    <rPh sb="11" eb="13">
      <t>シンセイ</t>
    </rPh>
    <rPh sb="13" eb="15">
      <t>ホウシュウ</t>
    </rPh>
    <phoneticPr fontId="2"/>
  </si>
  <si>
    <t>最終利益</t>
    <rPh sb="0" eb="2">
      <t>サイシュウ</t>
    </rPh>
    <rPh sb="2" eb="4">
      <t>リエキ</t>
    </rPh>
    <phoneticPr fontId="2"/>
  </si>
  <si>
    <t>補助対象額（ZEB化）</t>
    <rPh sb="0" eb="2">
      <t>ホジョ</t>
    </rPh>
    <rPh sb="2" eb="4">
      <t>タイショウ</t>
    </rPh>
    <rPh sb="4" eb="5">
      <t>ガク</t>
    </rPh>
    <rPh sb="9" eb="10">
      <t>カ</t>
    </rPh>
    <phoneticPr fontId="2"/>
  </si>
  <si>
    <t>※最終利益は補助金額-アップ額-ZEBプランニング費用と申請報酬</t>
    <rPh sb="1" eb="3">
      <t>サイシュウ</t>
    </rPh>
    <rPh sb="3" eb="5">
      <t>リエキ</t>
    </rPh>
    <rPh sb="6" eb="9">
      <t>ホジョキン</t>
    </rPh>
    <rPh sb="9" eb="10">
      <t>ガク</t>
    </rPh>
    <rPh sb="14" eb="15">
      <t>ガク</t>
    </rPh>
    <rPh sb="25" eb="27">
      <t>ヒヨウ</t>
    </rPh>
    <rPh sb="28" eb="30">
      <t>シンセイ</t>
    </rPh>
    <rPh sb="30" eb="32">
      <t>ホウシュウ</t>
    </rPh>
    <phoneticPr fontId="2"/>
  </si>
  <si>
    <t>ZEB化補助金活用による最終利益と省エネ率計算（簡易計算事務所用）</t>
    <rPh sb="3" eb="4">
      <t>カ</t>
    </rPh>
    <rPh sb="4" eb="7">
      <t>ホジョキン</t>
    </rPh>
    <rPh sb="7" eb="9">
      <t>カツヨウ</t>
    </rPh>
    <rPh sb="12" eb="14">
      <t>サイシュウ</t>
    </rPh>
    <rPh sb="14" eb="16">
      <t>リエキ</t>
    </rPh>
    <rPh sb="17" eb="18">
      <t>ショウ</t>
    </rPh>
    <rPh sb="20" eb="21">
      <t>リツ</t>
    </rPh>
    <rPh sb="21" eb="23">
      <t>ケイサン</t>
    </rPh>
    <rPh sb="24" eb="26">
      <t>カンイ</t>
    </rPh>
    <rPh sb="26" eb="28">
      <t>ケイサン</t>
    </rPh>
    <rPh sb="28" eb="30">
      <t>ジム</t>
    </rPh>
    <rPh sb="30" eb="31">
      <t>ショ</t>
    </rPh>
    <rPh sb="31" eb="32">
      <t>ヨウ</t>
    </rPh>
    <phoneticPr fontId="2"/>
  </si>
  <si>
    <t>お客様名</t>
    <rPh sb="1" eb="3">
      <t>キャクサマ</t>
    </rPh>
    <rPh sb="3" eb="4">
      <t>メイ</t>
    </rPh>
    <phoneticPr fontId="2"/>
  </si>
  <si>
    <t>沖縄○○〇株式会社</t>
    <rPh sb="0" eb="2">
      <t>オキナワ</t>
    </rPh>
    <rPh sb="5" eb="7">
      <t>カブシキ</t>
    </rPh>
    <rPh sb="7" eb="9">
      <t>カイシャ</t>
    </rPh>
    <phoneticPr fontId="2"/>
  </si>
  <si>
    <t>建築用途</t>
    <rPh sb="0" eb="2">
      <t>ケンチク</t>
    </rPh>
    <rPh sb="2" eb="4">
      <t>ヨウト</t>
    </rPh>
    <phoneticPr fontId="2"/>
  </si>
  <si>
    <t>-</t>
    <phoneticPr fontId="2"/>
  </si>
  <si>
    <t>老健施設</t>
    <rPh sb="0" eb="2">
      <t>ロウケン</t>
    </rPh>
    <rPh sb="2" eb="4">
      <t>シセツ</t>
    </rPh>
    <phoneticPr fontId="2"/>
  </si>
  <si>
    <t>事務所</t>
    <rPh sb="0" eb="2">
      <t>ジム</t>
    </rPh>
    <rPh sb="2" eb="3">
      <t>ショ</t>
    </rPh>
    <phoneticPr fontId="2"/>
  </si>
  <si>
    <t>スポーツクラブ</t>
    <phoneticPr fontId="2"/>
  </si>
  <si>
    <t>構成比</t>
    <rPh sb="0" eb="3">
      <t>コウセイヒ</t>
    </rPh>
    <phoneticPr fontId="2"/>
  </si>
  <si>
    <t>費用アップ率</t>
    <rPh sb="0" eb="2">
      <t>ヒヨウ</t>
    </rPh>
    <rPh sb="5" eb="6">
      <t>リツ</t>
    </rPh>
    <phoneticPr fontId="2"/>
  </si>
  <si>
    <t>節水器具・配管保温</t>
    <rPh sb="0" eb="2">
      <t>セッスイ</t>
    </rPh>
    <rPh sb="2" eb="4">
      <t>キグ</t>
    </rPh>
    <rPh sb="5" eb="7">
      <t>ハイカン</t>
    </rPh>
    <rPh sb="7" eb="9">
      <t>ホオン</t>
    </rPh>
    <phoneticPr fontId="2"/>
  </si>
  <si>
    <t>事務所</t>
    <rPh sb="0" eb="2">
      <t>ジム</t>
    </rPh>
    <rPh sb="2" eb="3">
      <t>ショ</t>
    </rPh>
    <phoneticPr fontId="2"/>
  </si>
  <si>
    <t>老健施設</t>
    <rPh sb="0" eb="2">
      <t>ロウケン</t>
    </rPh>
    <rPh sb="2" eb="4">
      <t>シセツ</t>
    </rPh>
    <phoneticPr fontId="2"/>
  </si>
  <si>
    <t>スポーツクラブ</t>
  </si>
  <si>
    <t>スポーツクラブ</t>
    <phoneticPr fontId="2"/>
  </si>
  <si>
    <t>省エネ率</t>
    <rPh sb="0" eb="1">
      <t>ショウ</t>
    </rPh>
    <rPh sb="3" eb="4">
      <t>リツ</t>
    </rPh>
    <phoneticPr fontId="2"/>
  </si>
  <si>
    <t>アップ費用</t>
    <rPh sb="3" eb="5">
      <t>ヒヨウ</t>
    </rPh>
    <phoneticPr fontId="2"/>
  </si>
  <si>
    <t>輻射式連暖房システム</t>
    <rPh sb="0" eb="2">
      <t>フクシャ</t>
    </rPh>
    <rPh sb="2" eb="3">
      <t>シキ</t>
    </rPh>
    <rPh sb="3" eb="4">
      <t>レン</t>
    </rPh>
    <rPh sb="4" eb="6">
      <t>ダンボウ</t>
    </rPh>
    <phoneticPr fontId="2"/>
  </si>
  <si>
    <t>スポーツクラブ</t>
    <phoneticPr fontId="2"/>
  </si>
  <si>
    <t>延べ面積</t>
    <rPh sb="0" eb="1">
      <t>ノ</t>
    </rPh>
    <rPh sb="2" eb="4">
      <t>メンセキ</t>
    </rPh>
    <phoneticPr fontId="2"/>
  </si>
  <si>
    <t>アップする</t>
    <phoneticPr fontId="2"/>
  </si>
  <si>
    <t>-</t>
    <phoneticPr fontId="2"/>
  </si>
  <si>
    <t>ZEBプランナー費用</t>
    <rPh sb="8" eb="10">
      <t>ヒヨウ</t>
    </rPh>
    <phoneticPr fontId="2"/>
  </si>
  <si>
    <t>補助金申請報酬</t>
    <rPh sb="0" eb="3">
      <t>ホジョキン</t>
    </rPh>
    <rPh sb="3" eb="5">
      <t>シンセイ</t>
    </rPh>
    <rPh sb="5" eb="7">
      <t>ホウシュウ</t>
    </rPh>
    <phoneticPr fontId="2"/>
  </si>
  <si>
    <t>-</t>
    <phoneticPr fontId="2"/>
  </si>
  <si>
    <t>㎡単価</t>
    <rPh sb="1" eb="3">
      <t>タンカ</t>
    </rPh>
    <phoneticPr fontId="2"/>
  </si>
  <si>
    <t>ホテル等</t>
    <rPh sb="3" eb="4">
      <t>トウ</t>
    </rPh>
    <phoneticPr fontId="2"/>
  </si>
  <si>
    <t>スポーツクラブ</t>
    <phoneticPr fontId="2"/>
  </si>
  <si>
    <t>ホテル</t>
    <phoneticPr fontId="2"/>
  </si>
  <si>
    <t>ホテル等</t>
    <rPh sb="3" eb="4">
      <t>トウ</t>
    </rPh>
    <phoneticPr fontId="2"/>
  </si>
  <si>
    <t>増額分</t>
    <rPh sb="0" eb="3">
      <t>ゾウガクブン</t>
    </rPh>
    <phoneticPr fontId="2"/>
  </si>
  <si>
    <t>予算総額</t>
    <rPh sb="0" eb="2">
      <t>ヨサン</t>
    </rPh>
    <rPh sb="2" eb="4">
      <t>ソウガク</t>
    </rPh>
    <phoneticPr fontId="2"/>
  </si>
  <si>
    <t>対象費用前</t>
    <rPh sb="0" eb="2">
      <t>タイショウ</t>
    </rPh>
    <rPh sb="2" eb="4">
      <t>ヒヨウ</t>
    </rPh>
    <rPh sb="4" eb="5">
      <t>ゼン</t>
    </rPh>
    <phoneticPr fontId="2"/>
  </si>
  <si>
    <t>プランナー費用</t>
    <rPh sb="5" eb="7">
      <t>ヒヨウ</t>
    </rPh>
    <phoneticPr fontId="2"/>
  </si>
  <si>
    <t>申請費用</t>
    <rPh sb="0" eb="2">
      <t>シンセイ</t>
    </rPh>
    <rPh sb="2" eb="4">
      <t>ヒヨウ</t>
    </rPh>
    <phoneticPr fontId="2"/>
  </si>
  <si>
    <t>設備アップ費用</t>
    <rPh sb="0" eb="2">
      <t>セツビ</t>
    </rPh>
    <rPh sb="5" eb="7">
      <t>ヒヨウ</t>
    </rPh>
    <phoneticPr fontId="2"/>
  </si>
  <si>
    <t>設備アップ費用計</t>
    <rPh sb="0" eb="2">
      <t>セツビ</t>
    </rPh>
    <rPh sb="5" eb="7">
      <t>ヒヨウ</t>
    </rPh>
    <rPh sb="7" eb="8">
      <t>ケイ</t>
    </rPh>
    <phoneticPr fontId="2"/>
  </si>
  <si>
    <t>アップ費用合計</t>
    <rPh sb="3" eb="5">
      <t>ヒヨウ</t>
    </rPh>
    <rPh sb="5" eb="7">
      <t>ゴウケイ</t>
    </rPh>
    <phoneticPr fontId="2"/>
  </si>
  <si>
    <t>作成日</t>
    <rPh sb="0" eb="3">
      <t>サクセイビ</t>
    </rPh>
    <phoneticPr fontId="2"/>
  </si>
  <si>
    <t>最終利益率</t>
    <rPh sb="0" eb="2">
      <t>サイシュウ</t>
    </rPh>
    <rPh sb="2" eb="4">
      <t>リエキ</t>
    </rPh>
    <rPh sb="4" eb="5">
      <t>リツ</t>
    </rPh>
    <phoneticPr fontId="2"/>
  </si>
  <si>
    <t>簡易によるZEB化補助金活用の利益計算と省エネ率計算</t>
    <rPh sb="0" eb="2">
      <t>カンイ</t>
    </rPh>
    <rPh sb="8" eb="9">
      <t>カ</t>
    </rPh>
    <rPh sb="9" eb="12">
      <t>ホジョキン</t>
    </rPh>
    <rPh sb="12" eb="14">
      <t>カツヨウ</t>
    </rPh>
    <rPh sb="15" eb="17">
      <t>リエキ</t>
    </rPh>
    <rPh sb="17" eb="19">
      <t>ケイサン</t>
    </rPh>
    <rPh sb="20" eb="21">
      <t>ショウ</t>
    </rPh>
    <rPh sb="23" eb="24">
      <t>リツ</t>
    </rPh>
    <rPh sb="24" eb="26">
      <t>ケイサン</t>
    </rPh>
    <phoneticPr fontId="2"/>
  </si>
  <si>
    <t>※本計算はZEBガイドラインに基づいた簡易計算の為、実際の利益や省エネ計算とは相違が出てきますので、ご了承ください。　　　　　　　　　　　　　　　　　　　　　　　　　　　　※ZEB化によるアップ費用については、案件例が東京圏の為、費用が大きくなっています。</t>
    <rPh sb="1" eb="2">
      <t>ホン</t>
    </rPh>
    <rPh sb="2" eb="4">
      <t>ケイサン</t>
    </rPh>
    <rPh sb="15" eb="16">
      <t>モト</t>
    </rPh>
    <rPh sb="19" eb="21">
      <t>カンイ</t>
    </rPh>
    <rPh sb="21" eb="23">
      <t>ケイサン</t>
    </rPh>
    <rPh sb="24" eb="25">
      <t>タメ</t>
    </rPh>
    <rPh sb="26" eb="28">
      <t>ジッサイ</t>
    </rPh>
    <rPh sb="29" eb="31">
      <t>リエキ</t>
    </rPh>
    <rPh sb="32" eb="33">
      <t>ショウ</t>
    </rPh>
    <rPh sb="35" eb="37">
      <t>ケイサン</t>
    </rPh>
    <rPh sb="39" eb="41">
      <t>ソウイ</t>
    </rPh>
    <rPh sb="42" eb="43">
      <t>デ</t>
    </rPh>
    <rPh sb="51" eb="53">
      <t>リョウショウ</t>
    </rPh>
    <rPh sb="90" eb="91">
      <t>カ</t>
    </rPh>
    <rPh sb="97" eb="99">
      <t>ヒヨウ</t>
    </rPh>
    <rPh sb="105" eb="107">
      <t>アンケン</t>
    </rPh>
    <rPh sb="107" eb="108">
      <t>レイ</t>
    </rPh>
    <rPh sb="109" eb="112">
      <t>トウキョウケン</t>
    </rPh>
    <rPh sb="113" eb="114">
      <t>タメ</t>
    </rPh>
    <rPh sb="115" eb="117">
      <t>ヒヨウ</t>
    </rPh>
    <rPh sb="118" eb="119">
      <t>オオ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</si>
</sst>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8" formatCode="&quot;¥&quot;#,##0.00;[Red]&quot;¥&quot;\-#,##0.00"/>
    <numFmt numFmtId="176" formatCode="0.0%"/>
    <numFmt numFmtId="177" formatCode="0.00000000000000%"/>
    <numFmt numFmtId="178" formatCode="0.000000000000000%"/>
    <numFmt numFmtId="179" formatCode="0&quot;㎡&quot;"/>
    <numFmt numFmtId="180" formatCode="0&quot;分&quot;&quot;の&quot;\2"/>
    <numFmt numFmtId="181" formatCode="[$-F800]dddd\,\ mmmm\ dd\,\ yyyy"/>
    <numFmt numFmtId="182" formatCode="0&quot;分&quot;&quot;の&quot;\1"/>
    <numFmt numFmtId="183" formatCode="#,##0;[Red]\-#,##0;[White]General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6" fontId="0" fillId="0" borderId="20" xfId="1" applyNumberFormat="1" applyFont="1" applyBorder="1" applyAlignment="1">
      <alignment horizontal="center" vertical="center" wrapText="1"/>
    </xf>
    <xf numFmtId="6" fontId="0" fillId="0" borderId="0" xfId="2" applyFont="1">
      <alignment vertical="center"/>
    </xf>
    <xf numFmtId="0" fontId="0" fillId="0" borderId="0" xfId="0" applyAlignment="1">
      <alignment horizontal="center" vertical="center"/>
    </xf>
    <xf numFmtId="9" fontId="0" fillId="0" borderId="0" xfId="1" applyFont="1">
      <alignment vertical="center"/>
    </xf>
    <xf numFmtId="176" fontId="0" fillId="0" borderId="0" xfId="1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6" fontId="0" fillId="0" borderId="0" xfId="0" applyNumberForma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9" fontId="0" fillId="0" borderId="0" xfId="1" applyFont="1" applyAlignment="1">
      <alignment horizontal="center" vertical="center" wrapText="1"/>
    </xf>
    <xf numFmtId="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6" fontId="6" fillId="0" borderId="10" xfId="2" applyFont="1" applyBorder="1" applyAlignment="1">
      <alignment horizontal="center" vertical="center" wrapText="1"/>
    </xf>
    <xf numFmtId="176" fontId="0" fillId="0" borderId="0" xfId="1" applyNumberFormat="1" applyFont="1" applyAlignment="1">
      <alignment vertical="center" wrapText="1"/>
    </xf>
    <xf numFmtId="6" fontId="7" fillId="0" borderId="0" xfId="2" applyFont="1" applyBorder="1" applyAlignment="1">
      <alignment horizontal="center" vertical="center" wrapText="1"/>
    </xf>
    <xf numFmtId="6" fontId="5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center" vertical="center" wrapText="1"/>
    </xf>
    <xf numFmtId="6" fontId="6" fillId="3" borderId="0" xfId="2" applyFont="1" applyFill="1" applyBorder="1" applyAlignment="1">
      <alignment horizontal="center" vertical="center" wrapText="1"/>
    </xf>
    <xf numFmtId="9" fontId="6" fillId="3" borderId="0" xfId="1" applyFont="1" applyFill="1" applyBorder="1" applyAlignment="1">
      <alignment horizontal="center" vertical="center" wrapText="1"/>
    </xf>
    <xf numFmtId="8" fontId="6" fillId="3" borderId="0" xfId="2" applyNumberFormat="1" applyFont="1" applyFill="1" applyBorder="1" applyAlignment="1">
      <alignment horizontal="center" vertical="center" wrapText="1"/>
    </xf>
    <xf numFmtId="6" fontId="7" fillId="3" borderId="0" xfId="2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176" fontId="5" fillId="5" borderId="3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4" fillId="3" borderId="28" xfId="1" applyNumberFormat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176" fontId="0" fillId="3" borderId="20" xfId="1" applyNumberFormat="1" applyFont="1" applyFill="1" applyBorder="1" applyAlignment="1">
      <alignment horizontal="center" vertical="center" wrapText="1"/>
    </xf>
    <xf numFmtId="176" fontId="0" fillId="3" borderId="6" xfId="1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6" xfId="0" applyFill="1" applyBorder="1" applyAlignment="1">
      <alignment horizontal="center" vertical="center" shrinkToFit="1"/>
    </xf>
    <xf numFmtId="8" fontId="0" fillId="0" borderId="0" xfId="0" applyNumberFormat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6" fontId="0" fillId="0" borderId="2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0" fillId="3" borderId="20" xfId="1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176" fontId="0" fillId="0" borderId="48" xfId="1" applyNumberFormat="1" applyFont="1" applyBorder="1" applyAlignment="1">
      <alignment horizontal="center" vertical="center" wrapText="1"/>
    </xf>
    <xf numFmtId="176" fontId="3" fillId="3" borderId="28" xfId="1" applyNumberFormat="1" applyFont="1" applyFill="1" applyBorder="1" applyAlignment="1">
      <alignment horizontal="center" vertical="center" wrapText="1"/>
    </xf>
    <xf numFmtId="176" fontId="3" fillId="3" borderId="7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76" fontId="11" fillId="0" borderId="0" xfId="1" applyNumberFormat="1" applyFont="1" applyAlignment="1">
      <alignment vertical="center" wrapText="1"/>
    </xf>
    <xf numFmtId="9" fontId="0" fillId="0" borderId="0" xfId="1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176" fontId="15" fillId="3" borderId="3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6" fontId="13" fillId="3" borderId="35" xfId="2" applyFont="1" applyFill="1" applyBorder="1" applyAlignment="1">
      <alignment horizontal="center" vertical="center" wrapText="1"/>
    </xf>
    <xf numFmtId="176" fontId="13" fillId="3" borderId="34" xfId="1" applyNumberFormat="1" applyFont="1" applyFill="1" applyBorder="1" applyAlignment="1">
      <alignment horizontal="center" vertical="center" wrapText="1"/>
    </xf>
    <xf numFmtId="9" fontId="10" fillId="3" borderId="33" xfId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6" fontId="13" fillId="3" borderId="10" xfId="2" applyFont="1" applyFill="1" applyBorder="1" applyAlignment="1">
      <alignment horizontal="center" vertical="center" wrapText="1"/>
    </xf>
    <xf numFmtId="9" fontId="13" fillId="3" borderId="12" xfId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6" fontId="15" fillId="3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center" vertical="center" wrapText="1"/>
    </xf>
    <xf numFmtId="6" fontId="13" fillId="3" borderId="0" xfId="2" applyFont="1" applyFill="1" applyBorder="1" applyAlignment="1">
      <alignment horizontal="center" vertical="center" wrapText="1"/>
    </xf>
    <xf numFmtId="9" fontId="13" fillId="3" borderId="0" xfId="1" applyFont="1" applyFill="1" applyBorder="1" applyAlignment="1">
      <alignment horizontal="center" vertical="center" wrapText="1"/>
    </xf>
    <xf numFmtId="8" fontId="13" fillId="3" borderId="0" xfId="2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176" fontId="10" fillId="3" borderId="20" xfId="1" applyNumberFormat="1" applyFont="1" applyFill="1" applyBorder="1" applyAlignment="1">
      <alignment horizontal="center" vertical="center" wrapText="1"/>
    </xf>
    <xf numFmtId="176" fontId="10" fillId="3" borderId="13" xfId="1" applyNumberFormat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shrinkToFit="1"/>
    </xf>
    <xf numFmtId="176" fontId="10" fillId="3" borderId="16" xfId="1" applyNumberFormat="1" applyFont="1" applyFill="1" applyBorder="1" applyAlignment="1">
      <alignment horizontal="center" vertical="center" wrapText="1"/>
    </xf>
    <xf numFmtId="176" fontId="10" fillId="3" borderId="2" xfId="1" applyNumberFormat="1" applyFont="1" applyFill="1" applyBorder="1" applyAlignment="1">
      <alignment horizontal="center" vertical="center" wrapText="1"/>
    </xf>
    <xf numFmtId="176" fontId="10" fillId="3" borderId="6" xfId="1" applyNumberFormat="1" applyFont="1" applyFill="1" applyBorder="1" applyAlignment="1">
      <alignment horizontal="center" vertical="center" wrapText="1"/>
    </xf>
    <xf numFmtId="176" fontId="16" fillId="3" borderId="7" xfId="1" applyNumberFormat="1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shrinkToFit="1"/>
    </xf>
    <xf numFmtId="10" fontId="10" fillId="3" borderId="20" xfId="1" applyNumberFormat="1" applyFont="1" applyFill="1" applyBorder="1" applyAlignment="1">
      <alignment horizontal="center" vertical="center" wrapText="1"/>
    </xf>
    <xf numFmtId="9" fontId="10" fillId="3" borderId="20" xfId="1" applyNumberFormat="1" applyFont="1" applyFill="1" applyBorder="1" applyAlignment="1">
      <alignment horizontal="center" vertical="center" wrapText="1"/>
    </xf>
    <xf numFmtId="9" fontId="10" fillId="3" borderId="0" xfId="1" applyFont="1" applyFill="1" applyAlignment="1">
      <alignment horizontal="center" vertical="center" wrapText="1"/>
    </xf>
    <xf numFmtId="9" fontId="10" fillId="3" borderId="2" xfId="1" applyFont="1" applyFill="1" applyBorder="1" applyAlignment="1">
      <alignment horizontal="center" vertical="center" wrapText="1"/>
    </xf>
    <xf numFmtId="9" fontId="10" fillId="3" borderId="6" xfId="1" applyFont="1" applyFill="1" applyBorder="1" applyAlignment="1">
      <alignment horizontal="center" vertical="center" wrapText="1"/>
    </xf>
    <xf numFmtId="9" fontId="16" fillId="3" borderId="28" xfId="1" applyFont="1" applyFill="1" applyBorder="1" applyAlignment="1">
      <alignment horizontal="center" vertical="center" wrapText="1"/>
    </xf>
    <xf numFmtId="176" fontId="12" fillId="3" borderId="28" xfId="1" applyNumberFormat="1" applyFont="1" applyFill="1" applyBorder="1" applyAlignment="1">
      <alignment horizontal="center" vertical="center" wrapText="1"/>
    </xf>
    <xf numFmtId="9" fontId="10" fillId="3" borderId="6" xfId="1" applyNumberFormat="1" applyFont="1" applyFill="1" applyBorder="1" applyAlignment="1">
      <alignment horizontal="center" vertical="center" wrapText="1"/>
    </xf>
    <xf numFmtId="176" fontId="16" fillId="3" borderId="28" xfId="1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shrinkToFit="1"/>
    </xf>
    <xf numFmtId="176" fontId="10" fillId="3" borderId="0" xfId="1" applyNumberFormat="1" applyFont="1" applyFill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>
      <alignment vertical="center"/>
    </xf>
    <xf numFmtId="176" fontId="10" fillId="3" borderId="0" xfId="1" applyNumberFormat="1" applyFont="1" applyFill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9" fontId="0" fillId="0" borderId="20" xfId="1" applyFont="1" applyBorder="1" applyAlignment="1">
      <alignment horizontal="center" vertical="center"/>
    </xf>
    <xf numFmtId="0" fontId="0" fillId="0" borderId="20" xfId="0" applyBorder="1">
      <alignment vertical="center"/>
    </xf>
    <xf numFmtId="9" fontId="0" fillId="3" borderId="20" xfId="1" applyFont="1" applyFill="1" applyBorder="1" applyAlignment="1">
      <alignment horizontal="center" vertical="center" wrapText="1"/>
    </xf>
    <xf numFmtId="9" fontId="10" fillId="3" borderId="20" xfId="1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4" fillId="4" borderId="13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horizontal="center" vertical="center" wrapText="1"/>
    </xf>
    <xf numFmtId="176" fontId="0" fillId="0" borderId="2" xfId="1" applyNumberFormat="1" applyFont="1" applyBorder="1" applyAlignment="1">
      <alignment horizontal="center" vertical="center" wrapText="1"/>
    </xf>
    <xf numFmtId="176" fontId="3" fillId="3" borderId="50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6" fontId="12" fillId="3" borderId="50" xfId="1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0" fontId="10" fillId="3" borderId="6" xfId="1" applyNumberFormat="1" applyFont="1" applyFill="1" applyBorder="1" applyAlignment="1">
      <alignment horizontal="center" vertical="center" wrapText="1"/>
    </xf>
    <xf numFmtId="176" fontId="4" fillId="3" borderId="51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shrinkToFit="1"/>
    </xf>
    <xf numFmtId="9" fontId="0" fillId="0" borderId="54" xfId="1" applyFont="1" applyBorder="1" applyAlignment="1">
      <alignment horizontal="center" vertical="center" wrapText="1"/>
    </xf>
    <xf numFmtId="38" fontId="0" fillId="0" borderId="20" xfId="3" applyFont="1" applyBorder="1" applyAlignment="1">
      <alignment horizontal="center" vertical="center" wrapText="1"/>
    </xf>
    <xf numFmtId="38" fontId="0" fillId="0" borderId="2" xfId="3" applyFont="1" applyBorder="1" applyAlignment="1">
      <alignment horizontal="center" vertical="center" wrapText="1"/>
    </xf>
    <xf numFmtId="38" fontId="4" fillId="3" borderId="50" xfId="3" applyFont="1" applyFill="1" applyBorder="1" applyAlignment="1">
      <alignment horizontal="center" vertical="center" wrapText="1"/>
    </xf>
    <xf numFmtId="6" fontId="17" fillId="0" borderId="0" xfId="0" applyNumberFormat="1" applyFont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38" fontId="10" fillId="3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176" fontId="10" fillId="3" borderId="20" xfId="1" applyNumberFormat="1" applyFont="1" applyFill="1" applyBorder="1" applyAlignment="1">
      <alignment horizontal="center" vertical="center" wrapText="1"/>
    </xf>
    <xf numFmtId="9" fontId="10" fillId="3" borderId="20" xfId="1" applyFont="1" applyFill="1" applyBorder="1" applyAlignment="1">
      <alignment horizontal="center" vertical="center" wrapText="1"/>
    </xf>
    <xf numFmtId="17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11" fillId="0" borderId="0" xfId="1" applyNumberFormat="1" applyFont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176" fontId="10" fillId="3" borderId="20" xfId="1" applyNumberFormat="1" applyFont="1" applyFill="1" applyBorder="1" applyAlignment="1">
      <alignment horizontal="center" vertical="center" wrapText="1"/>
    </xf>
    <xf numFmtId="176" fontId="10" fillId="3" borderId="13" xfId="1" applyNumberFormat="1" applyFont="1" applyFill="1" applyBorder="1" applyAlignment="1">
      <alignment horizontal="center" vertical="center" wrapText="1"/>
    </xf>
    <xf numFmtId="176" fontId="10" fillId="3" borderId="6" xfId="1" applyNumberFormat="1" applyFont="1" applyFill="1" applyBorder="1" applyAlignment="1">
      <alignment horizontal="center" vertical="center" wrapText="1"/>
    </xf>
    <xf numFmtId="176" fontId="16" fillId="3" borderId="7" xfId="1" applyNumberFormat="1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3" borderId="20" xfId="1" applyNumberFormat="1" applyFont="1" applyFill="1" applyBorder="1" applyAlignment="1">
      <alignment horizontal="center" vertical="center" wrapText="1"/>
    </xf>
    <xf numFmtId="9" fontId="10" fillId="3" borderId="20" xfId="1" applyNumberFormat="1" applyFont="1" applyFill="1" applyBorder="1" applyAlignment="1">
      <alignment horizontal="center" vertical="center" wrapText="1"/>
    </xf>
    <xf numFmtId="9" fontId="10" fillId="3" borderId="6" xfId="1" applyFont="1" applyFill="1" applyBorder="1" applyAlignment="1">
      <alignment horizontal="center" vertical="center" wrapText="1"/>
    </xf>
    <xf numFmtId="176" fontId="12" fillId="3" borderId="28" xfId="1" applyNumberFormat="1" applyFont="1" applyFill="1" applyBorder="1" applyAlignment="1">
      <alignment horizontal="center" vertical="center" wrapText="1"/>
    </xf>
    <xf numFmtId="9" fontId="10" fillId="3" borderId="6" xfId="1" applyNumberFormat="1" applyFont="1" applyFill="1" applyBorder="1" applyAlignment="1">
      <alignment horizontal="center" vertical="center" wrapText="1"/>
    </xf>
    <xf numFmtId="176" fontId="16" fillId="3" borderId="28" xfId="1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shrinkToFit="1"/>
    </xf>
    <xf numFmtId="176" fontId="0" fillId="0" borderId="20" xfId="1" applyNumberFormat="1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10" fontId="10" fillId="3" borderId="6" xfId="1" applyNumberFormat="1" applyFont="1" applyFill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38" fontId="10" fillId="3" borderId="27" xfId="0" applyNumberFormat="1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shrinkToFit="1"/>
    </xf>
    <xf numFmtId="176" fontId="10" fillId="3" borderId="48" xfId="1" applyNumberFormat="1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6" fontId="0" fillId="0" borderId="0" xfId="2" applyFont="1" applyAlignment="1">
      <alignment vertical="center" wrapText="1"/>
    </xf>
    <xf numFmtId="6" fontId="0" fillId="0" borderId="0" xfId="0" applyNumberFormat="1" applyAlignment="1">
      <alignment vertical="center" wrapText="1"/>
    </xf>
    <xf numFmtId="38" fontId="0" fillId="0" borderId="2" xfId="3" applyNumberFormat="1" applyFont="1" applyBorder="1" applyAlignment="1">
      <alignment horizontal="center" vertical="center" wrapText="1"/>
    </xf>
    <xf numFmtId="9" fontId="0" fillId="2" borderId="2" xfId="1" applyFont="1" applyFill="1" applyBorder="1" applyAlignment="1">
      <alignment horizontal="center" vertical="center" wrapText="1"/>
    </xf>
    <xf numFmtId="6" fontId="6" fillId="0" borderId="0" xfId="2" applyNumberFormat="1" applyFont="1" applyBorder="1" applyAlignment="1">
      <alignment horizontal="center" vertical="center" wrapText="1"/>
    </xf>
    <xf numFmtId="6" fontId="6" fillId="0" borderId="0" xfId="0" applyNumberFormat="1" applyFont="1" applyBorder="1" applyAlignment="1">
      <alignment horizontal="center" vertical="center" wrapText="1"/>
    </xf>
    <xf numFmtId="6" fontId="10" fillId="0" borderId="0" xfId="2" applyFont="1" applyAlignment="1">
      <alignment vertical="center" wrapText="1"/>
    </xf>
    <xf numFmtId="6" fontId="6" fillId="0" borderId="1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 wrapText="1"/>
    </xf>
    <xf numFmtId="9" fontId="0" fillId="0" borderId="0" xfId="1" applyFont="1" applyAlignment="1">
      <alignment horizontal="center" vertical="center" wrapText="1"/>
    </xf>
    <xf numFmtId="176" fontId="18" fillId="3" borderId="0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180" fontId="20" fillId="0" borderId="54" xfId="2" applyNumberFormat="1" applyFont="1" applyBorder="1" applyAlignment="1">
      <alignment horizontal="center" vertical="center" wrapText="1"/>
    </xf>
    <xf numFmtId="182" fontId="20" fillId="0" borderId="6" xfId="2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9" fontId="0" fillId="0" borderId="24" xfId="1" applyFon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9" fontId="6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 wrapText="1"/>
    </xf>
    <xf numFmtId="183" fontId="19" fillId="3" borderId="54" xfId="3" applyNumberFormat="1" applyFont="1" applyFill="1" applyBorder="1" applyAlignment="1">
      <alignment horizontal="center" vertical="center" wrapText="1"/>
    </xf>
    <xf numFmtId="183" fontId="20" fillId="0" borderId="6" xfId="3" applyNumberFormat="1" applyFont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6" fontId="5" fillId="5" borderId="54" xfId="0" applyNumberFormat="1" applyFont="1" applyFill="1" applyBorder="1" applyAlignment="1">
      <alignment horizontal="right" vertical="center" wrapText="1"/>
    </xf>
    <xf numFmtId="6" fontId="5" fillId="5" borderId="55" xfId="0" applyNumberFormat="1" applyFont="1" applyFill="1" applyBorder="1" applyAlignment="1">
      <alignment horizontal="right" vertical="center" wrapText="1"/>
    </xf>
    <xf numFmtId="6" fontId="5" fillId="5" borderId="6" xfId="0" applyNumberFormat="1" applyFont="1" applyFill="1" applyBorder="1" applyAlignment="1">
      <alignment horizontal="right" vertical="center" wrapText="1"/>
    </xf>
    <xf numFmtId="6" fontId="5" fillId="5" borderId="28" xfId="0" applyNumberFormat="1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176" fontId="4" fillId="3" borderId="30" xfId="1" applyNumberFormat="1" applyFont="1" applyFill="1" applyBorder="1" applyAlignment="1">
      <alignment horizontal="center" vertical="center" wrapText="1"/>
    </xf>
    <xf numFmtId="176" fontId="4" fillId="3" borderId="27" xfId="1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81" fontId="0" fillId="0" borderId="32" xfId="0" applyNumberFormat="1" applyBorder="1" applyAlignment="1">
      <alignment horizontal="left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 wrapText="1"/>
    </xf>
    <xf numFmtId="9" fontId="6" fillId="2" borderId="6" xfId="1" applyFont="1" applyFill="1" applyBorder="1" applyAlignment="1">
      <alignment horizontal="center" vertical="center" wrapText="1"/>
    </xf>
    <xf numFmtId="6" fontId="6" fillId="0" borderId="1" xfId="2" applyFont="1" applyBorder="1" applyAlignment="1">
      <alignment horizontal="center" vertical="center" wrapText="1"/>
    </xf>
    <xf numFmtId="6" fontId="6" fillId="0" borderId="6" xfId="2" applyFont="1" applyBorder="1" applyAlignment="1">
      <alignment horizontal="center" vertical="center" wrapText="1"/>
    </xf>
    <xf numFmtId="6" fontId="6" fillId="0" borderId="1" xfId="2" applyNumberFormat="1" applyFont="1" applyBorder="1" applyAlignment="1">
      <alignment horizontal="center" vertical="center" wrapText="1"/>
    </xf>
    <xf numFmtId="6" fontId="6" fillId="0" borderId="30" xfId="2" applyNumberFormat="1" applyFont="1" applyBorder="1" applyAlignment="1">
      <alignment horizontal="center" vertical="center" wrapText="1"/>
    </xf>
    <xf numFmtId="6" fontId="6" fillId="0" borderId="6" xfId="2" applyNumberFormat="1" applyFont="1" applyBorder="1" applyAlignment="1">
      <alignment horizontal="center" vertical="center" wrapText="1"/>
    </xf>
    <xf numFmtId="6" fontId="6" fillId="0" borderId="28" xfId="2" applyNumberFormat="1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6" fontId="6" fillId="0" borderId="54" xfId="2" applyNumberFormat="1" applyFont="1" applyBorder="1" applyAlignment="1">
      <alignment horizontal="center" vertical="center" wrapText="1"/>
    </xf>
    <xf numFmtId="6" fontId="6" fillId="0" borderId="55" xfId="2" applyNumberFormat="1" applyFont="1" applyBorder="1" applyAlignment="1">
      <alignment horizontal="center" vertical="center" wrapText="1"/>
    </xf>
    <xf numFmtId="8" fontId="6" fillId="0" borderId="11" xfId="0" applyNumberFormat="1" applyFont="1" applyBorder="1" applyAlignment="1">
      <alignment horizontal="center" vertical="center" wrapText="1"/>
    </xf>
    <xf numFmtId="8" fontId="6" fillId="0" borderId="12" xfId="0" applyNumberFormat="1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6" fontId="7" fillId="0" borderId="36" xfId="2" applyNumberFormat="1" applyFont="1" applyBorder="1" applyAlignment="1">
      <alignment horizontal="center" vertical="center" wrapText="1"/>
    </xf>
    <xf numFmtId="6" fontId="7" fillId="0" borderId="60" xfId="2" applyNumberFormat="1" applyFont="1" applyBorder="1" applyAlignment="1">
      <alignment horizontal="center" vertical="center" wrapText="1"/>
    </xf>
    <xf numFmtId="6" fontId="7" fillId="0" borderId="58" xfId="2" applyNumberFormat="1" applyFont="1" applyBorder="1" applyAlignment="1">
      <alignment horizontal="center" vertical="center" wrapText="1"/>
    </xf>
    <xf numFmtId="6" fontId="7" fillId="0" borderId="7" xfId="2" applyNumberFormat="1" applyFont="1" applyBorder="1" applyAlignment="1">
      <alignment horizontal="center" vertical="center" wrapText="1"/>
    </xf>
    <xf numFmtId="6" fontId="6" fillId="0" borderId="54" xfId="2" applyFont="1" applyBorder="1" applyAlignment="1">
      <alignment horizontal="center" vertical="center" wrapText="1"/>
    </xf>
    <xf numFmtId="6" fontId="6" fillId="0" borderId="63" xfId="2" applyFont="1" applyBorder="1" applyAlignment="1">
      <alignment horizontal="center" vertical="center" wrapText="1"/>
    </xf>
    <xf numFmtId="6" fontId="6" fillId="0" borderId="64" xfId="2" applyFont="1" applyBorder="1" applyAlignment="1">
      <alignment horizontal="center" vertical="center" wrapText="1"/>
    </xf>
    <xf numFmtId="6" fontId="6" fillId="0" borderId="49" xfId="2" applyFont="1" applyBorder="1" applyAlignment="1">
      <alignment horizontal="center" vertical="center" wrapText="1"/>
    </xf>
    <xf numFmtId="6" fontId="6" fillId="0" borderId="41" xfId="2" applyFont="1" applyBorder="1" applyAlignment="1">
      <alignment horizontal="center" vertical="center" wrapText="1"/>
    </xf>
    <xf numFmtId="176" fontId="4" fillId="3" borderId="19" xfId="1" applyNumberFormat="1" applyFont="1" applyFill="1" applyBorder="1" applyAlignment="1">
      <alignment horizontal="center" vertical="center" wrapText="1"/>
    </xf>
    <xf numFmtId="176" fontId="4" fillId="3" borderId="21" xfId="1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6" fontId="6" fillId="0" borderId="50" xfId="0" applyNumberFormat="1" applyFont="1" applyBorder="1" applyAlignment="1">
      <alignment horizontal="center" vertical="center" wrapText="1"/>
    </xf>
    <xf numFmtId="6" fontId="6" fillId="0" borderId="11" xfId="2" applyNumberFormat="1" applyFont="1" applyBorder="1" applyAlignment="1">
      <alignment horizontal="center" vertical="center" wrapText="1"/>
    </xf>
    <xf numFmtId="6" fontId="6" fillId="0" borderId="12" xfId="2" applyNumberFormat="1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6" fontId="6" fillId="0" borderId="16" xfId="2" applyFont="1" applyBorder="1" applyAlignment="1">
      <alignment horizontal="center" vertical="center" wrapText="1"/>
    </xf>
    <xf numFmtId="6" fontId="6" fillId="0" borderId="38" xfId="2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6" fontId="13" fillId="3" borderId="16" xfId="2" applyFont="1" applyFill="1" applyBorder="1" applyAlignment="1">
      <alignment horizontal="center" vertical="center" wrapText="1"/>
    </xf>
    <xf numFmtId="6" fontId="13" fillId="3" borderId="40" xfId="2" applyFont="1" applyFill="1" applyBorder="1" applyAlignment="1">
      <alignment horizontal="center" vertical="center" wrapText="1"/>
    </xf>
    <xf numFmtId="6" fontId="13" fillId="3" borderId="36" xfId="2" applyFont="1" applyFill="1" applyBorder="1" applyAlignment="1">
      <alignment horizontal="center" vertical="center" wrapText="1"/>
    </xf>
    <xf numFmtId="6" fontId="13" fillId="3" borderId="32" xfId="2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8" fontId="13" fillId="3" borderId="11" xfId="0" applyNumberFormat="1" applyFont="1" applyFill="1" applyBorder="1" applyAlignment="1">
      <alignment horizontal="center" vertical="center" wrapText="1"/>
    </xf>
    <xf numFmtId="6" fontId="13" fillId="3" borderId="12" xfId="0" applyNumberFormat="1" applyFont="1" applyFill="1" applyBorder="1" applyAlignment="1">
      <alignment horizontal="center" vertical="center" wrapText="1"/>
    </xf>
    <xf numFmtId="6" fontId="15" fillId="3" borderId="22" xfId="0" applyNumberFormat="1" applyFont="1" applyFill="1" applyBorder="1" applyAlignment="1">
      <alignment horizontal="right" vertical="center" wrapText="1"/>
    </xf>
    <xf numFmtId="0" fontId="15" fillId="3" borderId="24" xfId="0" applyFont="1" applyFill="1" applyBorder="1" applyAlignment="1">
      <alignment horizontal="right" vertical="center" wrapText="1"/>
    </xf>
    <xf numFmtId="6" fontId="13" fillId="3" borderId="11" xfId="2" applyFont="1" applyFill="1" applyBorder="1" applyAlignment="1">
      <alignment horizontal="center" vertical="center" wrapText="1"/>
    </xf>
    <xf numFmtId="6" fontId="13" fillId="3" borderId="12" xfId="2" applyFont="1" applyFill="1" applyBorder="1" applyAlignment="1">
      <alignment horizontal="center" vertical="center" wrapText="1"/>
    </xf>
    <xf numFmtId="8" fontId="13" fillId="3" borderId="11" xfId="2" applyNumberFormat="1" applyFont="1" applyFill="1" applyBorder="1" applyAlignment="1">
      <alignment horizontal="center" vertical="center" wrapText="1"/>
    </xf>
    <xf numFmtId="176" fontId="12" fillId="3" borderId="19" xfId="1" applyNumberFormat="1" applyFont="1" applyFill="1" applyBorder="1" applyAlignment="1">
      <alignment horizontal="center" vertical="center" wrapText="1"/>
    </xf>
    <xf numFmtId="176" fontId="12" fillId="3" borderId="21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176" fontId="12" fillId="3" borderId="30" xfId="1" applyNumberFormat="1" applyFont="1" applyFill="1" applyBorder="1" applyAlignment="1">
      <alignment horizontal="center" vertical="center" wrapText="1"/>
    </xf>
    <xf numFmtId="176" fontId="12" fillId="3" borderId="27" xfId="1" applyNumberFormat="1" applyFont="1" applyFill="1" applyBorder="1" applyAlignment="1">
      <alignment horizontal="center" vertical="center" wrapText="1"/>
    </xf>
    <xf numFmtId="6" fontId="13" fillId="3" borderId="11" xfId="0" applyNumberFormat="1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パーセント" xfId="1" builtinId="5"/>
    <cellStyle name="桁区切り" xfId="3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665734</xdr:colOff>
      <xdr:row>28</xdr:row>
      <xdr:rowOff>80842</xdr:rowOff>
    </xdr:from>
    <xdr:ext cx="2093603" cy="587256"/>
    <xdr:pic>
      <xdr:nvPicPr>
        <xdr:cNvPr id="2" name="図 1" descr="http://www.nonrisk.co.jp/image18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1341" y="9959628"/>
          <a:ext cx="2093603" cy="58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611305</xdr:colOff>
      <xdr:row>28</xdr:row>
      <xdr:rowOff>257735</xdr:rowOff>
    </xdr:from>
    <xdr:ext cx="2093603" cy="587256"/>
    <xdr:pic>
      <xdr:nvPicPr>
        <xdr:cNvPr id="2" name="図 1" descr="http://www.nonrisk.co.jp/image18.gif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6155" y="10049435"/>
          <a:ext cx="2093603" cy="58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611305</xdr:colOff>
      <xdr:row>28</xdr:row>
      <xdr:rowOff>257735</xdr:rowOff>
    </xdr:from>
    <xdr:ext cx="2093603" cy="587256"/>
    <xdr:pic>
      <xdr:nvPicPr>
        <xdr:cNvPr id="2" name="図 1" descr="http://www.nonrisk.co.jp/image18.gif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6155" y="10049435"/>
          <a:ext cx="2093603" cy="58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611305</xdr:colOff>
      <xdr:row>28</xdr:row>
      <xdr:rowOff>257735</xdr:rowOff>
    </xdr:from>
    <xdr:ext cx="2093603" cy="587256"/>
    <xdr:pic>
      <xdr:nvPicPr>
        <xdr:cNvPr id="2" name="図 1" descr="http://www.nonrisk.co.jp/image18.gif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6155" y="10049435"/>
          <a:ext cx="2093603" cy="58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611305</xdr:colOff>
      <xdr:row>28</xdr:row>
      <xdr:rowOff>257735</xdr:rowOff>
    </xdr:from>
    <xdr:ext cx="2093603" cy="587256"/>
    <xdr:pic>
      <xdr:nvPicPr>
        <xdr:cNvPr id="2" name="図 1" descr="http://www.nonrisk.co.jp/image18.gif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6155" y="9801785"/>
          <a:ext cx="2093603" cy="58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3"/>
  <sheetViews>
    <sheetView tabSelected="1" zoomScale="85" zoomScaleNormal="85" workbookViewId="0">
      <selection activeCell="T15" sqref="T15"/>
    </sheetView>
  </sheetViews>
  <sheetFormatPr defaultRowHeight="13.5"/>
  <cols>
    <col min="1" max="2" width="12.25" style="1" customWidth="1"/>
    <col min="3" max="15" width="12.25" style="2" customWidth="1"/>
    <col min="16" max="16" width="12.25" style="1" customWidth="1"/>
    <col min="17" max="17" width="14.875" style="1" hidden="1" customWidth="1"/>
    <col min="18" max="18" width="12.375" style="1" hidden="1" customWidth="1"/>
    <col min="19" max="19" width="14.125" style="1" hidden="1" customWidth="1"/>
    <col min="20" max="20" width="14.125" style="1" bestFit="1" customWidth="1"/>
    <col min="21" max="16384" width="9" style="1"/>
  </cols>
  <sheetData>
    <row r="1" spans="1:23" ht="29.25" customHeight="1">
      <c r="A1" s="145"/>
      <c r="B1" s="146"/>
      <c r="C1" s="146"/>
      <c r="D1" s="146"/>
      <c r="E1" s="146"/>
      <c r="F1" s="256" t="s">
        <v>104</v>
      </c>
      <c r="G1" s="256"/>
      <c r="H1" s="256"/>
      <c r="I1" s="256"/>
      <c r="J1" s="256"/>
      <c r="K1" s="256"/>
      <c r="L1" s="146"/>
      <c r="M1" s="146"/>
      <c r="N1" s="146"/>
      <c r="O1" s="146"/>
      <c r="P1" s="147"/>
      <c r="R1" s="81"/>
      <c r="S1" s="162">
        <f>O3+O4</f>
        <v>15880000</v>
      </c>
    </row>
    <row r="2" spans="1:23" ht="14.25" thickBot="1">
      <c r="R2" s="81"/>
      <c r="S2" s="81" t="s">
        <v>68</v>
      </c>
    </row>
    <row r="3" spans="1:23" ht="35.25" customHeight="1" thickBot="1">
      <c r="A3" s="35" t="s">
        <v>65</v>
      </c>
      <c r="B3" s="275"/>
      <c r="C3" s="276"/>
      <c r="D3" s="277"/>
      <c r="E3" s="36" t="s">
        <v>67</v>
      </c>
      <c r="F3" s="148" t="s">
        <v>70</v>
      </c>
      <c r="G3" s="13" t="s">
        <v>83</v>
      </c>
      <c r="H3" s="221">
        <v>2280</v>
      </c>
      <c r="I3" s="222" t="s">
        <v>89</v>
      </c>
      <c r="J3" s="261">
        <f>ROUNDDOWN(E5/H3,0)</f>
        <v>230391</v>
      </c>
      <c r="K3" s="262"/>
      <c r="L3" s="257" t="s">
        <v>86</v>
      </c>
      <c r="M3" s="258"/>
      <c r="N3" s="158">
        <v>0.03</v>
      </c>
      <c r="O3" s="259">
        <f>ROUNDDOWN((R9+R22)*H5*N3,-4)</f>
        <v>3660000</v>
      </c>
      <c r="P3" s="260"/>
      <c r="Q3" s="205"/>
      <c r="R3" s="82">
        <v>1</v>
      </c>
      <c r="S3" s="82" t="s">
        <v>70</v>
      </c>
    </row>
    <row r="4" spans="1:23" ht="36.75" customHeight="1" thickBot="1">
      <c r="A4" s="284" t="s">
        <v>31</v>
      </c>
      <c r="B4" s="285"/>
      <c r="C4" s="34">
        <f>P10+I15+M20+N15+J25+O25</f>
        <v>0.43489999999999995</v>
      </c>
      <c r="D4" s="6" t="s">
        <v>56</v>
      </c>
      <c r="E4" s="286">
        <v>500000000</v>
      </c>
      <c r="F4" s="287"/>
      <c r="G4" s="22" t="s">
        <v>55</v>
      </c>
      <c r="H4" s="223">
        <f>J4/E4</f>
        <v>5.0584799999999999E-2</v>
      </c>
      <c r="I4" s="208" t="s">
        <v>48</v>
      </c>
      <c r="J4" s="282">
        <f>R23</f>
        <v>25292400</v>
      </c>
      <c r="K4" s="283"/>
      <c r="L4" s="278" t="s">
        <v>87</v>
      </c>
      <c r="M4" s="279"/>
      <c r="N4" s="204">
        <v>0.1</v>
      </c>
      <c r="O4" s="280">
        <f>ROUNDDOWN((R9+R22)*H5*N4,-4)</f>
        <v>12220000</v>
      </c>
      <c r="P4" s="281"/>
      <c r="Q4" s="206"/>
      <c r="R4" s="82">
        <v>2</v>
      </c>
      <c r="S4" s="82" t="s">
        <v>69</v>
      </c>
    </row>
    <row r="5" spans="1:23" ht="18" customHeight="1">
      <c r="A5" s="226" t="s">
        <v>61</v>
      </c>
      <c r="B5" s="228">
        <f>O5-J4</f>
        <v>58168784</v>
      </c>
      <c r="C5" s="229"/>
      <c r="D5" s="232" t="s">
        <v>57</v>
      </c>
      <c r="E5" s="268">
        <f>E4+J4</f>
        <v>525292400</v>
      </c>
      <c r="F5" s="269"/>
      <c r="G5" s="271" t="s">
        <v>58</v>
      </c>
      <c r="H5" s="248">
        <v>0.24</v>
      </c>
      <c r="I5" s="250" t="s">
        <v>62</v>
      </c>
      <c r="J5" s="252">
        <f>ROUNDDOWN((E5-O3)*H5,0)</f>
        <v>125191776</v>
      </c>
      <c r="K5" s="253"/>
      <c r="L5" s="257" t="s">
        <v>59</v>
      </c>
      <c r="M5" s="216">
        <v>3</v>
      </c>
      <c r="N5" s="224">
        <v>1</v>
      </c>
      <c r="O5" s="264">
        <f>(J5/M5)*2*N5+(J5/M6)*N6</f>
        <v>83461184</v>
      </c>
      <c r="P5" s="265"/>
      <c r="Q5" s="206"/>
      <c r="R5" s="82"/>
      <c r="S5" s="82"/>
    </row>
    <row r="6" spans="1:23" ht="18" customHeight="1" thickBot="1">
      <c r="A6" s="227"/>
      <c r="B6" s="230"/>
      <c r="C6" s="231"/>
      <c r="D6" s="233"/>
      <c r="E6" s="251"/>
      <c r="F6" s="270"/>
      <c r="G6" s="272"/>
      <c r="H6" s="249"/>
      <c r="I6" s="251"/>
      <c r="J6" s="254"/>
      <c r="K6" s="255"/>
      <c r="L6" s="263"/>
      <c r="M6" s="217">
        <v>2</v>
      </c>
      <c r="N6" s="225">
        <f>1-N5</f>
        <v>0</v>
      </c>
      <c r="O6" s="266"/>
      <c r="P6" s="267"/>
      <c r="R6" s="82">
        <v>3</v>
      </c>
      <c r="S6" s="83" t="s">
        <v>91</v>
      </c>
    </row>
    <row r="7" spans="1:23" ht="19.5" customHeight="1" thickBot="1">
      <c r="A7" s="32" t="s">
        <v>63</v>
      </c>
      <c r="B7" s="25"/>
      <c r="C7" s="26"/>
      <c r="D7" s="27"/>
      <c r="E7" s="28"/>
      <c r="F7" s="28"/>
      <c r="G7" s="28"/>
      <c r="H7" s="29"/>
      <c r="I7" s="28"/>
      <c r="J7" s="30"/>
      <c r="K7" s="28"/>
      <c r="L7" s="27"/>
      <c r="M7" s="31"/>
      <c r="N7" s="24"/>
      <c r="O7" s="218" t="s">
        <v>103</v>
      </c>
      <c r="P7" s="219">
        <f>B5/O5</f>
        <v>0.69695613232613618</v>
      </c>
      <c r="R7" s="82"/>
      <c r="S7" s="171" t="s">
        <v>90</v>
      </c>
      <c r="W7" s="33"/>
    </row>
    <row r="8" spans="1:23" ht="8.25" customHeight="1" thickBot="1">
      <c r="R8" s="82"/>
      <c r="S8" s="82"/>
    </row>
    <row r="9" spans="1:23" ht="42.75" customHeight="1" thickBot="1">
      <c r="A9" s="241" t="s">
        <v>14</v>
      </c>
      <c r="B9" s="56"/>
      <c r="C9" s="57" t="s">
        <v>0</v>
      </c>
      <c r="D9" s="57" t="s">
        <v>1</v>
      </c>
      <c r="E9" s="57" t="s">
        <v>2</v>
      </c>
      <c r="F9" s="57" t="s">
        <v>3</v>
      </c>
      <c r="G9" s="57" t="s">
        <v>46</v>
      </c>
      <c r="H9" s="57" t="s">
        <v>47</v>
      </c>
      <c r="I9" s="57" t="s">
        <v>4</v>
      </c>
      <c r="J9" s="57" t="s">
        <v>5</v>
      </c>
      <c r="K9" s="57" t="s">
        <v>9</v>
      </c>
      <c r="L9" s="57" t="s">
        <v>8</v>
      </c>
      <c r="M9" s="57" t="s">
        <v>6</v>
      </c>
      <c r="N9" s="59" t="s">
        <v>7</v>
      </c>
      <c r="O9" s="57" t="s">
        <v>28</v>
      </c>
      <c r="P9" s="60" t="s">
        <v>11</v>
      </c>
      <c r="Q9" s="214" t="s">
        <v>95</v>
      </c>
      <c r="R9" s="207">
        <f>E4</f>
        <v>500000000</v>
      </c>
      <c r="S9" s="201">
        <f>'Sheet2 (2)'!G16</f>
        <v>11289980</v>
      </c>
    </row>
    <row r="10" spans="1:23" ht="27" customHeight="1" thickTop="1">
      <c r="A10" s="242"/>
      <c r="B10" s="156" t="s">
        <v>10</v>
      </c>
      <c r="C10" s="62"/>
      <c r="D10" s="62"/>
      <c r="E10" s="62">
        <v>1</v>
      </c>
      <c r="F10" s="62">
        <v>1</v>
      </c>
      <c r="G10" s="62"/>
      <c r="H10" s="62">
        <v>1</v>
      </c>
      <c r="I10" s="62"/>
      <c r="J10" s="62"/>
      <c r="K10" s="62"/>
      <c r="L10" s="62"/>
      <c r="M10" s="62"/>
      <c r="N10" s="63"/>
      <c r="O10" s="62"/>
      <c r="P10" s="273">
        <f>C10*C11+D10*D11+E10*E11+F10*F11+I10*I11+J10*J11+K10*K11+L10*L11+M10*M11+N10*N11+O10*O11+G10*G11+H10*H11</f>
        <v>3.3999999999999996E-2</v>
      </c>
      <c r="Q10" s="213" t="s">
        <v>96</v>
      </c>
      <c r="R10" s="207">
        <f>R9*H5</f>
        <v>120000000</v>
      </c>
      <c r="S10" s="202">
        <f>O3+O4</f>
        <v>15880000</v>
      </c>
    </row>
    <row r="11" spans="1:23" ht="27" customHeight="1">
      <c r="A11" s="242"/>
      <c r="B11" s="55" t="s">
        <v>11</v>
      </c>
      <c r="C11" s="65">
        <f>INDEX('Sheet2 (2)'!$D$37:$P$43,'Sheet2 (2)'!$J$33,'Sheet2 (2)'!D36)</f>
        <v>6.0000000000000001E-3</v>
      </c>
      <c r="D11" s="65">
        <f>INDEX('Sheet2 (2)'!$D$37:$P$43,'Sheet2 (2)'!$J$33,'Sheet2 (2)'!E36)</f>
        <v>6.0999999999999999E-2</v>
      </c>
      <c r="E11" s="65">
        <f>INDEX('Sheet2 (2)'!$D$37:$P$43,'Sheet2 (2)'!$J$33,'Sheet2 (2)'!F36)</f>
        <v>2.1999999999999999E-2</v>
      </c>
      <c r="F11" s="65">
        <f>INDEX('Sheet2 (2)'!$D$37:$P$43,'Sheet2 (2)'!$J$33,'Sheet2 (2)'!G36)</f>
        <v>6.0000000000000001E-3</v>
      </c>
      <c r="G11" s="65">
        <f>INDEX('Sheet2 (2)'!$D$37:$P$43,'Sheet2 (2)'!$J$33,'Sheet2 (2)'!H36)</f>
        <v>6.0000000000000001E-3</v>
      </c>
      <c r="H11" s="65">
        <f>INDEX('Sheet2 (2)'!$D$37:$P$43,'Sheet2 (2)'!$J$33,'Sheet2 (2)'!I36)</f>
        <v>6.0000000000000001E-3</v>
      </c>
      <c r="I11" s="65">
        <f>INDEX('Sheet2 (2)'!$D$37:$P$43,'Sheet2 (2)'!$J$33,'Sheet2 (2)'!J36)</f>
        <v>6.7000000000000004E-2</v>
      </c>
      <c r="J11" s="65">
        <f>INDEX('Sheet2 (2)'!$D$37:$P$43,'Sheet2 (2)'!$J$33,'Sheet2 (2)'!K36)</f>
        <v>2.7999999999999997E-2</v>
      </c>
      <c r="K11" s="65">
        <f>INDEX('Sheet2 (2)'!$D$37:$P$43,'Sheet2 (2)'!$J$33,'Sheet2 (2)'!L36)</f>
        <v>8.299999999999999E-2</v>
      </c>
      <c r="L11" s="65">
        <f>INDEX('Sheet2 (2)'!$D$37:$P$43,'Sheet2 (2)'!$J$33,'Sheet2 (2)'!M36)</f>
        <v>8.8999999999999996E-2</v>
      </c>
      <c r="M11" s="65">
        <f>INDEX('Sheet2 (2)'!$D$37:$P$43,'Sheet2 (2)'!$J$33,'Sheet2 (2)'!N36)</f>
        <v>3.0999999999999996E-2</v>
      </c>
      <c r="N11" s="65">
        <f>INDEX('Sheet2 (2)'!$D$37:$P$43,'Sheet2 (2)'!$J$33,'Sheet2 (2)'!O36)</f>
        <v>9.1999999999999998E-2</v>
      </c>
      <c r="O11" s="65">
        <f>INDEX('Sheet2 (2)'!$D$37:$P$43,'Sheet2 (2)'!$J$33,'Sheet2 (2)'!P36)</f>
        <v>1.2E-2</v>
      </c>
      <c r="P11" s="274"/>
      <c r="Q11" s="213" t="s">
        <v>97</v>
      </c>
      <c r="R11" s="202">
        <f>O3</f>
        <v>3660000</v>
      </c>
      <c r="S11" s="202">
        <f>SUM(S9:S10)</f>
        <v>27169980</v>
      </c>
    </row>
    <row r="12" spans="1:23" ht="27" customHeight="1">
      <c r="A12" s="242"/>
      <c r="B12" s="64" t="s">
        <v>84</v>
      </c>
      <c r="C12" s="159">
        <v>1</v>
      </c>
      <c r="D12" s="159">
        <v>1</v>
      </c>
      <c r="E12" s="159">
        <v>1</v>
      </c>
      <c r="F12" s="159"/>
      <c r="G12" s="159">
        <v>1</v>
      </c>
      <c r="H12" s="159"/>
      <c r="I12" s="159">
        <v>1</v>
      </c>
      <c r="J12" s="159">
        <v>1</v>
      </c>
      <c r="K12" s="159">
        <v>1</v>
      </c>
      <c r="L12" s="159">
        <v>1</v>
      </c>
      <c r="M12" s="159">
        <v>1</v>
      </c>
      <c r="N12" s="159">
        <v>1</v>
      </c>
      <c r="O12" s="159">
        <v>1</v>
      </c>
      <c r="P12" s="155" t="s">
        <v>85</v>
      </c>
      <c r="Q12" s="212" t="s">
        <v>98</v>
      </c>
      <c r="R12" s="202">
        <f>O4</f>
        <v>12220000</v>
      </c>
      <c r="S12" s="201"/>
      <c r="T12" s="201"/>
    </row>
    <row r="13" spans="1:23" ht="27" customHeight="1" thickBot="1">
      <c r="A13" s="243"/>
      <c r="B13" s="157" t="s">
        <v>33</v>
      </c>
      <c r="C13" s="78">
        <f>INDEX('Sheet2 (2)'!$D$47:$P$53,'Sheet2 (2)'!$J$33,'Sheet2 (2)'!D46)*C12</f>
        <v>0.02</v>
      </c>
      <c r="D13" s="78">
        <f>INDEX('Sheet2 (2)'!$D$47:$P$53,'Sheet2 (2)'!$J$33,'Sheet2 (2)'!E46)*D12</f>
        <v>0.05</v>
      </c>
      <c r="E13" s="78">
        <f>INDEX('Sheet2 (2)'!$D$47:$P$53,'Sheet2 (2)'!$J$33,'Sheet2 (2)'!F46)*E12</f>
        <v>0.01</v>
      </c>
      <c r="F13" s="78">
        <f>INDEX('Sheet2 (2)'!$D$47:$P$53,'Sheet2 (2)'!$J$33,'Sheet2 (2)'!G46)*F12</f>
        <v>0</v>
      </c>
      <c r="G13" s="78">
        <f>INDEX('Sheet2 (2)'!$D$47:$P$53,'Sheet2 (2)'!$J$33,'Sheet2 (2)'!H46)*G12</f>
        <v>5.0000000000000001E-3</v>
      </c>
      <c r="H13" s="78">
        <f>INDEX('Sheet2 (2)'!$D$47:$P$53,'Sheet2 (2)'!$J$33,'Sheet2 (2)'!I46)*H12</f>
        <v>0</v>
      </c>
      <c r="I13" s="78">
        <f>INDEX('Sheet2 (2)'!$D$47:$P$53,'Sheet2 (2)'!$J$33,'Sheet2 (2)'!J46)*I12</f>
        <v>7.0000000000000007E-2</v>
      </c>
      <c r="J13" s="78">
        <f>INDEX('Sheet2 (2)'!$D$47:$P$53,'Sheet2 (2)'!$J$33,'Sheet2 (2)'!K46)*J12</f>
        <v>0.03</v>
      </c>
      <c r="K13" s="78">
        <f>INDEX('Sheet2 (2)'!$D$47:$P$53,'Sheet2 (2)'!$J$33,'Sheet2 (2)'!L46)*K12</f>
        <v>0.06</v>
      </c>
      <c r="L13" s="78">
        <f>INDEX('Sheet2 (2)'!$D$47:$P$53,'Sheet2 (2)'!$J$33,'Sheet2 (2)'!M46)*L12</f>
        <v>0.08</v>
      </c>
      <c r="M13" s="78">
        <f>INDEX('Sheet2 (2)'!$D$47:$P$53,'Sheet2 (2)'!$J$33,'Sheet2 (2)'!N46)*M12</f>
        <v>0.03</v>
      </c>
      <c r="N13" s="78">
        <f>INDEX('Sheet2 (2)'!$D$47:$P$53,'Sheet2 (2)'!$J$33,'Sheet2 (2)'!O46)*N12</f>
        <v>0.08</v>
      </c>
      <c r="O13" s="78">
        <f>INDEX('Sheet2 (2)'!$D$47:$P$53,'Sheet2 (2)'!$J$33,'Sheet2 (2)'!P46)*O12</f>
        <v>0.02</v>
      </c>
      <c r="P13" s="80">
        <f>C10*C13+D10*D13+E10*E13+F10*F13+G10*G13+H10*H13+I10*I13+J10*J13+K10*K13+L10*L13+M10*M13+N10*N13+O10*O13</f>
        <v>0.01</v>
      </c>
      <c r="Q13" s="212" t="s">
        <v>99</v>
      </c>
      <c r="R13" s="202">
        <f>'Sheet2 (2)'!G5</f>
        <v>1475000</v>
      </c>
      <c r="S13" s="202"/>
    </row>
    <row r="14" spans="1:23" ht="42.75" customHeight="1" thickBot="1">
      <c r="A14" s="232" t="s">
        <v>15</v>
      </c>
      <c r="B14" s="73"/>
      <c r="C14" s="74" t="s">
        <v>12</v>
      </c>
      <c r="D14" s="75" t="s">
        <v>49</v>
      </c>
      <c r="E14" s="76"/>
      <c r="F14" s="75" t="s">
        <v>13</v>
      </c>
      <c r="G14" s="75" t="s">
        <v>54</v>
      </c>
      <c r="H14" s="75" t="s">
        <v>81</v>
      </c>
      <c r="I14" s="77" t="s">
        <v>11</v>
      </c>
      <c r="J14" s="237" t="s">
        <v>23</v>
      </c>
      <c r="K14" s="73"/>
      <c r="L14" s="75" t="s">
        <v>12</v>
      </c>
      <c r="M14" s="75" t="s">
        <v>22</v>
      </c>
      <c r="N14" s="77" t="s">
        <v>11</v>
      </c>
      <c r="P14" s="2"/>
      <c r="Q14" s="212" t="s">
        <v>99</v>
      </c>
      <c r="R14" s="202">
        <f>'Sheet2 (2)'!G6</f>
        <v>1440000</v>
      </c>
      <c r="S14" s="51"/>
      <c r="T14" s="84"/>
    </row>
    <row r="15" spans="1:23" ht="27" customHeight="1" thickTop="1">
      <c r="A15" s="238"/>
      <c r="B15" s="3" t="s">
        <v>10</v>
      </c>
      <c r="C15" s="5"/>
      <c r="D15" s="5">
        <v>1</v>
      </c>
      <c r="E15" s="5"/>
      <c r="F15" s="5">
        <v>1</v>
      </c>
      <c r="G15" s="5"/>
      <c r="H15" s="5"/>
      <c r="I15" s="235">
        <f>C15*C16+D15*D16+E15*E16+F15*F16+G15*G16+H15*H16</f>
        <v>0.25700000000000001</v>
      </c>
      <c r="J15" s="238"/>
      <c r="K15" s="55" t="s">
        <v>10</v>
      </c>
      <c r="L15" s="61">
        <v>1</v>
      </c>
      <c r="M15" s="61"/>
      <c r="N15" s="235">
        <f>L15*L16+M15*M16</f>
        <v>0</v>
      </c>
      <c r="P15" s="2"/>
      <c r="Q15" s="212" t="s">
        <v>99</v>
      </c>
      <c r="R15" s="202">
        <f>'Sheet2 (2)'!G7</f>
        <v>0</v>
      </c>
      <c r="S15" s="1">
        <f>3.75/2</f>
        <v>1.875</v>
      </c>
      <c r="T15" s="220"/>
    </row>
    <row r="16" spans="1:23" ht="27" customHeight="1">
      <c r="A16" s="238"/>
      <c r="B16" s="7" t="s">
        <v>11</v>
      </c>
      <c r="C16" s="8">
        <f>INDEX('Sheet2 (2)'!$D$58:$I$64,'Sheet2 (2)'!$J$33,'Sheet2 (2)'!D57)</f>
        <v>0</v>
      </c>
      <c r="D16" s="65">
        <f>INDEX('Sheet2 (2)'!$D$58:$I$64,'Sheet2 (2)'!$J$33,'Sheet2 (2)'!E57)</f>
        <v>0.22</v>
      </c>
      <c r="E16" s="65">
        <f>INDEX('Sheet2 (2)'!$D$58:$I$64,'Sheet2 (2)'!$J$33,'Sheet2 (2)'!F57)</f>
        <v>0</v>
      </c>
      <c r="F16" s="65">
        <f>INDEX('Sheet2 (2)'!$D$58:$I$64,'Sheet2 (2)'!$J$33,'Sheet2 (2)'!G57)</f>
        <v>3.6999999999999998E-2</v>
      </c>
      <c r="G16" s="65">
        <f>INDEX('Sheet2 (2)'!$D$58:$I$64,'Sheet2 (2)'!$J$33,'Sheet2 (2)'!H57)</f>
        <v>5.8000000000000003E-2</v>
      </c>
      <c r="H16" s="65">
        <f>INDEX('Sheet2 (2)'!$D$58:$I$64,'Sheet2 (2)'!$J$33,'Sheet2 (2)'!I57)</f>
        <v>0.1</v>
      </c>
      <c r="I16" s="236"/>
      <c r="J16" s="238"/>
      <c r="K16" s="64" t="s">
        <v>11</v>
      </c>
      <c r="L16" s="65">
        <f>INDEX('Sheet2 (2)'!$D$100:$E$106,'Sheet2 (2)'!$J$33,'Sheet2 (2)'!D99)</f>
        <v>0</v>
      </c>
      <c r="M16" s="65">
        <f>INDEX('Sheet2 (2)'!$D$100:$E$106,'Sheet2 (2)'!$J$33,'Sheet2 (2)'!E99)</f>
        <v>0.01</v>
      </c>
      <c r="N16" s="236"/>
      <c r="P16" s="2"/>
      <c r="Q16" s="212" t="s">
        <v>99</v>
      </c>
      <c r="R16" s="202">
        <f>'Sheet2 (2)'!G8</f>
        <v>5250000.0000000009</v>
      </c>
      <c r="S16" s="202"/>
    </row>
    <row r="17" spans="1:18" ht="27" customHeight="1">
      <c r="A17" s="244"/>
      <c r="B17" s="64" t="s">
        <v>84</v>
      </c>
      <c r="C17" s="160"/>
      <c r="D17" s="160"/>
      <c r="E17" s="160"/>
      <c r="F17" s="160">
        <v>1</v>
      </c>
      <c r="G17" s="160">
        <v>1</v>
      </c>
      <c r="H17" s="160">
        <v>1</v>
      </c>
      <c r="I17" s="161" t="s">
        <v>85</v>
      </c>
      <c r="J17" s="239"/>
      <c r="K17" s="64" t="s">
        <v>84</v>
      </c>
      <c r="L17" s="160"/>
      <c r="M17" s="160">
        <v>1</v>
      </c>
      <c r="N17" s="161" t="s">
        <v>85</v>
      </c>
      <c r="P17" s="2"/>
      <c r="Q17" s="212" t="s">
        <v>99</v>
      </c>
      <c r="R17" s="202">
        <f>'Sheet2 (2)'!G9</f>
        <v>0</v>
      </c>
    </row>
    <row r="18" spans="1:18" ht="27" customHeight="1" thickBot="1">
      <c r="A18" s="233"/>
      <c r="B18" s="16" t="s">
        <v>33</v>
      </c>
      <c r="C18" s="4">
        <f>INDEX('Sheet2 (2)'!$D$68:$I$74,'Sheet2 (2)'!$J$33,'Sheet2 (2)'!D67)*C17</f>
        <v>0</v>
      </c>
      <c r="D18" s="58">
        <f>INDEX('Sheet2 (2)'!$D$68:$I$74,'Sheet2 (2)'!$J$33,'Sheet2 (2)'!E67)*D17</f>
        <v>0</v>
      </c>
      <c r="E18" s="58">
        <f>INDEX('Sheet2 (2)'!$D$68:$I$74,'Sheet2 (2)'!$J$33,'Sheet2 (2)'!F67)*E17</f>
        <v>0</v>
      </c>
      <c r="F18" s="58">
        <f>INDEX('Sheet2 (2)'!$D$68:$I$74,'Sheet2 (2)'!$J$33,'Sheet2 (2)'!G67)*F17</f>
        <v>0.14000000000000001</v>
      </c>
      <c r="G18" s="58">
        <f>INDEX('Sheet2 (2)'!$D$68:$I$74,'Sheet2 (2)'!$J$33,'Sheet2 (2)'!H67)*G17</f>
        <v>0.14499999999999999</v>
      </c>
      <c r="H18" s="58">
        <f>INDEX('Sheet2 (2)'!$D$68:$I$74,'Sheet2 (2)'!$J$33,'Sheet2 (2)'!I67)*H17</f>
        <v>0.1</v>
      </c>
      <c r="I18" s="79">
        <f>C15*C18+D15*D18+E15*E18+F15*F18+G15*G18+H15*H18</f>
        <v>0.14000000000000001</v>
      </c>
      <c r="J18" s="233"/>
      <c r="K18" s="17" t="s">
        <v>33</v>
      </c>
      <c r="L18" s="58">
        <f>INDEX('Sheet2 (2)'!$D$110:$E$116,'Sheet2 (2)'!$J$33,'Sheet2 (2)'!D109)*L17</f>
        <v>0</v>
      </c>
      <c r="M18" s="58">
        <f>INDEX('Sheet2 (2)'!$D$110:$E$116,'Sheet2 (2)'!$J$33,'Sheet2 (2)'!E109)*M17</f>
        <v>0</v>
      </c>
      <c r="N18" s="79">
        <f>L15*L18+M15*M18</f>
        <v>0</v>
      </c>
      <c r="P18" s="2"/>
      <c r="Q18" s="212" t="s">
        <v>99</v>
      </c>
      <c r="R18" s="202">
        <f>'Sheet2 (2)'!G10</f>
        <v>1247400</v>
      </c>
    </row>
    <row r="19" spans="1:18" ht="42.75" customHeight="1" thickBot="1">
      <c r="A19" s="245" t="s">
        <v>16</v>
      </c>
      <c r="B19" s="56"/>
      <c r="C19" s="57" t="s">
        <v>12</v>
      </c>
      <c r="D19" s="57" t="s">
        <v>51</v>
      </c>
      <c r="E19" s="57"/>
      <c r="F19" s="57"/>
      <c r="G19" s="57" t="s">
        <v>17</v>
      </c>
      <c r="H19" s="57" t="s">
        <v>18</v>
      </c>
      <c r="I19" s="57" t="s">
        <v>19</v>
      </c>
      <c r="J19" s="57" t="s">
        <v>21</v>
      </c>
      <c r="K19" s="57" t="s">
        <v>53</v>
      </c>
      <c r="L19" s="57" t="s">
        <v>20</v>
      </c>
      <c r="M19" s="69" t="s">
        <v>11</v>
      </c>
      <c r="P19" s="2"/>
      <c r="Q19" s="212" t="s">
        <v>99</v>
      </c>
      <c r="R19" s="202">
        <f>'Sheet2 (2)'!G11</f>
        <v>0</v>
      </c>
    </row>
    <row r="20" spans="1:18" ht="27" customHeight="1" thickTop="1">
      <c r="A20" s="246"/>
      <c r="B20" s="55" t="s">
        <v>10</v>
      </c>
      <c r="C20" s="61"/>
      <c r="D20" s="61">
        <v>1</v>
      </c>
      <c r="E20" s="61"/>
      <c r="F20" s="61"/>
      <c r="G20" s="61">
        <v>1</v>
      </c>
      <c r="H20" s="61"/>
      <c r="I20" s="61"/>
      <c r="J20" s="61"/>
      <c r="K20" s="61"/>
      <c r="L20" s="61"/>
      <c r="M20" s="235">
        <f>C20*C21+D20*D21+E20*E21+F20*F21+I20*I21+J20*J21+K20*K21+L20*L21+G20*G21+H20*H21</f>
        <v>0.1439</v>
      </c>
      <c r="P20" s="2"/>
      <c r="Q20" s="212" t="s">
        <v>99</v>
      </c>
      <c r="R20" s="202">
        <f>'Sheet2 (2)'!G12</f>
        <v>0</v>
      </c>
    </row>
    <row r="21" spans="1:18" ht="27" customHeight="1">
      <c r="A21" s="246"/>
      <c r="B21" s="64" t="s">
        <v>11</v>
      </c>
      <c r="C21" s="65">
        <f>INDEX('Sheet2 (2)'!$D$79:$M$85,'Sheet2 (2)'!$J$33,'Sheet2 (2)'!D78)</f>
        <v>0</v>
      </c>
      <c r="D21" s="65">
        <f>INDEX('Sheet2 (2)'!$D$79:$M$85,'Sheet2 (2)'!$J$33,'Sheet2 (2)'!E78)</f>
        <v>0.14000000000000001</v>
      </c>
      <c r="E21" s="65">
        <f>INDEX('Sheet2 (2)'!$D$79:$M$85,'Sheet2 (2)'!$J$33,'Sheet2 (2)'!F78)</f>
        <v>0.14000000000000001</v>
      </c>
      <c r="F21" s="65">
        <f>INDEX('Sheet2 (2)'!$D$79:$M$85,'Sheet2 (2)'!$J$33,'Sheet2 (2)'!G78)</f>
        <v>0</v>
      </c>
      <c r="G21" s="65">
        <f>INDEX('Sheet2 (2)'!$D$79:$M$85,'Sheet2 (2)'!$J$33,'Sheet2 (2)'!H78)</f>
        <v>3.8999999999999998E-3</v>
      </c>
      <c r="H21" s="65">
        <f>INDEX('Sheet2 (2)'!$D$79:$M$85,'Sheet2 (2)'!$J$33,'Sheet2 (2)'!I78)</f>
        <v>5.1000000000000004E-3</v>
      </c>
      <c r="I21" s="65">
        <f>INDEX('Sheet2 (2)'!$D$79:$M$85,'Sheet2 (2)'!$J$33,'Sheet2 (2)'!J78)</f>
        <v>0.05</v>
      </c>
      <c r="J21" s="65">
        <f>INDEX('Sheet2 (2)'!$D$79:$M$85,'Sheet2 (2)'!$J$33,'Sheet2 (2)'!K78)</f>
        <v>8.5300000000000001E-2</v>
      </c>
      <c r="K21" s="65">
        <f>INDEX('Sheet2 (2)'!$D$79:$M$85,'Sheet2 (2)'!$J$33,'Sheet2 (2)'!L78)</f>
        <v>0.03</v>
      </c>
      <c r="L21" s="65">
        <f>INDEX('Sheet2 (2)'!$D$79:$M$85,'Sheet2 (2)'!$J$33,'Sheet2 (2)'!M78)</f>
        <v>9.3700000000000006E-2</v>
      </c>
      <c r="M21" s="236"/>
      <c r="P21" s="18"/>
      <c r="Q21" s="212" t="s">
        <v>99</v>
      </c>
      <c r="R21" s="202">
        <f>'Sheet2 (2)'!G13</f>
        <v>0</v>
      </c>
    </row>
    <row r="22" spans="1:18" ht="27" customHeight="1">
      <c r="A22" s="242"/>
      <c r="B22" s="64" t="s">
        <v>84</v>
      </c>
      <c r="C22" s="160"/>
      <c r="D22" s="160"/>
      <c r="E22" s="160">
        <v>1</v>
      </c>
      <c r="F22" s="160">
        <v>1</v>
      </c>
      <c r="G22" s="160">
        <v>1</v>
      </c>
      <c r="H22" s="160">
        <v>1</v>
      </c>
      <c r="I22" s="160">
        <v>1</v>
      </c>
      <c r="J22" s="160">
        <v>1</v>
      </c>
      <c r="K22" s="160">
        <v>1</v>
      </c>
      <c r="L22" s="160">
        <v>1</v>
      </c>
      <c r="M22" s="161"/>
      <c r="P22" s="18"/>
      <c r="Q22" s="212" t="s">
        <v>100</v>
      </c>
      <c r="R22" s="202">
        <f>SUM(R13:R21)</f>
        <v>9412400</v>
      </c>
    </row>
    <row r="23" spans="1:18" ht="27" customHeight="1" thickBot="1">
      <c r="A23" s="247"/>
      <c r="B23" s="68" t="s">
        <v>33</v>
      </c>
      <c r="C23" s="58">
        <f>INDEX('Sheet2 (2)'!$D$89:$M$95,'Sheet2 (2)'!$J$33,'Sheet2 (2)'!D88)*C22</f>
        <v>0</v>
      </c>
      <c r="D23" s="58">
        <f>INDEX('Sheet2 (2)'!$D$89:$M$95,'Sheet2 (2)'!$J$33,'Sheet2 (2)'!E88)*D22</f>
        <v>0</v>
      </c>
      <c r="E23" s="58">
        <f>INDEX('Sheet2 (2)'!$D$89:$M$95,'Sheet2 (2)'!$J$33,'Sheet2 (2)'!F88)*E22</f>
        <v>0</v>
      </c>
      <c r="F23" s="58">
        <f>INDEX('Sheet2 (2)'!$D$89:$M$95,'Sheet2 (2)'!$J$33,'Sheet2 (2)'!G88)*F22</f>
        <v>0</v>
      </c>
      <c r="G23" s="58">
        <f>INDEX('Sheet2 (2)'!$D$89:$M$95,'Sheet2 (2)'!$J$33,'Sheet2 (2)'!H88)*G22</f>
        <v>0.03</v>
      </c>
      <c r="H23" s="58">
        <f>INDEX('Sheet2 (2)'!$D$89:$M$95,'Sheet2 (2)'!$J$33,'Sheet2 (2)'!I88)*H22</f>
        <v>0.03</v>
      </c>
      <c r="I23" s="58">
        <f>INDEX('Sheet2 (2)'!$D$89:$M$95,'Sheet2 (2)'!$J$33,'Sheet2 (2)'!J88)*I22</f>
        <v>0.03</v>
      </c>
      <c r="J23" s="58">
        <f>INDEX('Sheet2 (2)'!$D$89:$M$95,'Sheet2 (2)'!$J$33,'Sheet2 (2)'!K88)*J22</f>
        <v>0.04</v>
      </c>
      <c r="K23" s="149">
        <f>INDEX('Sheet2 (2)'!$D$89:$M$95,'Sheet2 (2)'!$J$33,'Sheet2 (2)'!L88)*K22</f>
        <v>0.05</v>
      </c>
      <c r="L23" s="149">
        <f>INDEX('Sheet2 (2)'!$D$89:$M$95,'Sheet2 (2)'!$J$33,'Sheet2 (2)'!M88)*L22</f>
        <v>0.06</v>
      </c>
      <c r="M23" s="150">
        <f>D20*D23+E20*E23+F20*F23+G20*G23+H20*H23+I20*I23+J20*J23+K20*K23+L20*L23</f>
        <v>0.03</v>
      </c>
      <c r="P23" s="2"/>
      <c r="Q23" s="211" t="s">
        <v>101</v>
      </c>
      <c r="R23" s="202">
        <f>R22+R12+R11</f>
        <v>25292400</v>
      </c>
    </row>
    <row r="24" spans="1:18" ht="41.25" customHeight="1" thickBot="1">
      <c r="A24" s="232" t="s">
        <v>24</v>
      </c>
      <c r="B24" s="56"/>
      <c r="C24" s="57" t="s">
        <v>12</v>
      </c>
      <c r="D24" s="57" t="s">
        <v>25</v>
      </c>
      <c r="E24" s="57" t="s">
        <v>26</v>
      </c>
      <c r="F24" s="57" t="s">
        <v>27</v>
      </c>
      <c r="G24" s="57"/>
      <c r="H24" s="57"/>
      <c r="I24" s="57" t="s">
        <v>32</v>
      </c>
      <c r="J24" s="69" t="s">
        <v>11</v>
      </c>
      <c r="K24" s="232" t="s">
        <v>29</v>
      </c>
      <c r="L24" s="56"/>
      <c r="M24" s="57" t="s">
        <v>12</v>
      </c>
      <c r="N24" s="57" t="s">
        <v>30</v>
      </c>
      <c r="O24" s="69" t="s">
        <v>11</v>
      </c>
      <c r="P24" s="2"/>
      <c r="Q24" s="18"/>
    </row>
    <row r="25" spans="1:18" ht="27" customHeight="1" thickTop="1">
      <c r="A25" s="238"/>
      <c r="B25" s="55" t="s">
        <v>10</v>
      </c>
      <c r="C25" s="61"/>
      <c r="D25" s="61"/>
      <c r="E25" s="61">
        <v>1</v>
      </c>
      <c r="F25" s="61"/>
      <c r="G25" s="61"/>
      <c r="H25" s="61"/>
      <c r="I25" s="61">
        <v>1</v>
      </c>
      <c r="J25" s="235">
        <f>C25*C26+D25*D26+E25*E26+F25*F26+I25*I26</f>
        <v>0</v>
      </c>
      <c r="K25" s="238"/>
      <c r="L25" s="55" t="s">
        <v>10</v>
      </c>
      <c r="M25" s="61">
        <v>1</v>
      </c>
      <c r="N25" s="61"/>
      <c r="O25" s="235">
        <f>M25*M26+N25*N26</f>
        <v>0</v>
      </c>
      <c r="P25" s="2"/>
      <c r="Q25" s="2"/>
    </row>
    <row r="26" spans="1:18" ht="27" customHeight="1">
      <c r="A26" s="238"/>
      <c r="B26" s="64" t="s">
        <v>11</v>
      </c>
      <c r="C26" s="65">
        <f>INDEX('Sheet2 (2)'!$D$121:$J$127,'Sheet2 (2)'!$J$33,'Sheet2 (2)'!D120)</f>
        <v>0</v>
      </c>
      <c r="D26" s="65">
        <f>INDEX('Sheet2 (2)'!$D$121:$J$127,'Sheet2 (2)'!$J$33,'Sheet2 (2)'!E120)</f>
        <v>0</v>
      </c>
      <c r="E26" s="65">
        <f>INDEX('Sheet2 (2)'!$D$121:$J$127,'Sheet2 (2)'!$J$33,'Sheet2 (2)'!F120)</f>
        <v>0</v>
      </c>
      <c r="F26" s="65">
        <f>INDEX('Sheet2 (2)'!$D$121:$J$127,'Sheet2 (2)'!$J$33,'Sheet2 (2)'!G120)</f>
        <v>5.0000000000000001E-3</v>
      </c>
      <c r="G26" s="65">
        <f>INDEX('Sheet2 (2)'!$D$121:$J$127,'Sheet2 (2)'!$J$33,'Sheet2 (2)'!H120)</f>
        <v>0</v>
      </c>
      <c r="H26" s="65">
        <f>INDEX('Sheet2 (2)'!$D$121:$J$127,'Sheet2 (2)'!$J$33,'Sheet2 (2)'!I120)</f>
        <v>0</v>
      </c>
      <c r="I26" s="65">
        <f>INDEX('Sheet2 (2)'!$D$121:$J$127,'Sheet2 (2)'!$J$33,'Sheet2 (2)'!J120)</f>
        <v>0</v>
      </c>
      <c r="J26" s="236"/>
      <c r="K26" s="238"/>
      <c r="L26" s="64" t="s">
        <v>11</v>
      </c>
      <c r="M26" s="65">
        <f>INDEX('Sheet2 (2)'!$D$142:$E$148,'Sheet2 (2)'!$J$33,'Sheet2 (2)'!D141)</f>
        <v>0</v>
      </c>
      <c r="N26" s="65">
        <f>INDEX('Sheet2 (2)'!$D$142:$E$148,'Sheet2 (2)'!$J$33,'Sheet2 (2)'!E141)</f>
        <v>0.01</v>
      </c>
      <c r="O26" s="236"/>
      <c r="P26" s="2"/>
      <c r="Q26" s="2"/>
    </row>
    <row r="27" spans="1:18" ht="27" customHeight="1">
      <c r="A27" s="244"/>
      <c r="B27" s="64" t="s">
        <v>84</v>
      </c>
      <c r="C27" s="160"/>
      <c r="D27" s="203"/>
      <c r="E27" s="160">
        <v>1</v>
      </c>
      <c r="F27" s="160">
        <v>1</v>
      </c>
      <c r="G27" s="160">
        <v>1</v>
      </c>
      <c r="H27" s="160">
        <v>1</v>
      </c>
      <c r="I27" s="160">
        <v>1</v>
      </c>
      <c r="J27" s="161" t="s">
        <v>88</v>
      </c>
      <c r="K27" s="239"/>
      <c r="L27" s="64" t="s">
        <v>84</v>
      </c>
      <c r="M27" s="160"/>
      <c r="N27" s="160">
        <v>1</v>
      </c>
      <c r="O27" s="161" t="s">
        <v>88</v>
      </c>
      <c r="P27" s="2"/>
      <c r="Q27" s="2"/>
    </row>
    <row r="28" spans="1:18" ht="27" customHeight="1" thickBot="1">
      <c r="A28" s="233"/>
      <c r="B28" s="68" t="s">
        <v>33</v>
      </c>
      <c r="C28" s="58">
        <f>INDEX('Sheet2 (2)'!$D$131:$J$137,'Sheet2 (2)'!$J$33,'Sheet2 (2)'!D130)*C27</f>
        <v>0</v>
      </c>
      <c r="D28" s="58">
        <f>INDEX('Sheet2 (2)'!$D$131:$J$137,'Sheet2 (2)'!$J$33,'Sheet2 (2)'!E130)*D27</f>
        <v>0</v>
      </c>
      <c r="E28" s="58">
        <f>INDEX('Sheet2 (2)'!$D$131:$J$137,'Sheet2 (2)'!$J$33,'Sheet2 (2)'!F130)*E27</f>
        <v>0</v>
      </c>
      <c r="F28" s="58">
        <f>INDEX('Sheet2 (2)'!$D$131:$J$137,'Sheet2 (2)'!$J$33,'Sheet2 (2)'!G130)*F27</f>
        <v>0</v>
      </c>
      <c r="G28" s="58">
        <f>INDEX('Sheet2 (2)'!$D$131:$J$137,'Sheet2 (2)'!$J$33,'Sheet2 (2)'!H130)*G27</f>
        <v>0</v>
      </c>
      <c r="H28" s="58">
        <f>INDEX('Sheet2 (2)'!$D$131:$J$137,'Sheet2 (2)'!$J$33,'Sheet2 (2)'!I130)*H27</f>
        <v>0</v>
      </c>
      <c r="I28" s="58">
        <f>INDEX('Sheet2 (2)'!$D$131:$J$137,'Sheet2 (2)'!$J$33,'Sheet2 (2)'!J130)*I27</f>
        <v>0</v>
      </c>
      <c r="J28" s="79">
        <f>C25*C28+D25*D28+E25*E28+F25*F28+G25*G28+H25*H28+I25*I28</f>
        <v>0</v>
      </c>
      <c r="K28" s="233"/>
      <c r="L28" s="68" t="s">
        <v>33</v>
      </c>
      <c r="M28" s="58">
        <f>INDEX('Sheet2 (2)'!$D$152:$E$158,'Sheet2 (2)'!$J$33,'Sheet2 (2)'!D151)*M27</f>
        <v>0</v>
      </c>
      <c r="N28" s="58">
        <f>INDEX('Sheet2 (2)'!$D$152:$E$158,'Sheet2 (2)'!$J$33,'Sheet2 (2)'!E151)*N27</f>
        <v>5.0000000000000001E-3</v>
      </c>
      <c r="O28" s="79">
        <f>M25*M28+N25*N28</f>
        <v>0</v>
      </c>
      <c r="P28" s="2"/>
      <c r="Q28" s="2"/>
    </row>
    <row r="29" spans="1:18" ht="42" customHeight="1">
      <c r="A29" s="210" t="s">
        <v>102</v>
      </c>
      <c r="B29" s="240">
        <v>43404</v>
      </c>
      <c r="C29" s="240"/>
      <c r="D29" s="234" t="s">
        <v>105</v>
      </c>
      <c r="E29" s="234"/>
      <c r="F29" s="234"/>
      <c r="G29" s="234"/>
      <c r="H29" s="234"/>
      <c r="I29" s="234"/>
      <c r="J29" s="234"/>
      <c r="K29" s="234"/>
      <c r="L29" s="234"/>
      <c r="M29" s="234"/>
      <c r="Q29" s="2"/>
    </row>
    <row r="30" spans="1:18" ht="15.75" customHeight="1">
      <c r="C30" s="1"/>
      <c r="D30" s="1"/>
      <c r="E30" s="1"/>
      <c r="Q30" s="2"/>
    </row>
    <row r="31" spans="1:18" ht="22.5" customHeight="1">
      <c r="C31" s="1"/>
      <c r="D31" s="1"/>
      <c r="E31" s="1"/>
    </row>
    <row r="32" spans="1:18" ht="22.5" customHeight="1">
      <c r="C32" s="1"/>
      <c r="D32" s="1"/>
      <c r="E32" s="1"/>
    </row>
    <row r="33" spans="3:5" ht="22.5" customHeight="1">
      <c r="C33" s="1"/>
      <c r="D33" s="1"/>
      <c r="E33" s="1"/>
    </row>
  </sheetData>
  <mergeCells count="34">
    <mergeCell ref="B3:D3"/>
    <mergeCell ref="L4:M4"/>
    <mergeCell ref="O4:P4"/>
    <mergeCell ref="J4:K4"/>
    <mergeCell ref="A4:B4"/>
    <mergeCell ref="E4:F4"/>
    <mergeCell ref="F1:K1"/>
    <mergeCell ref="O25:O26"/>
    <mergeCell ref="K24:K28"/>
    <mergeCell ref="L3:M3"/>
    <mergeCell ref="O3:P3"/>
    <mergeCell ref="J3:K3"/>
    <mergeCell ref="L5:L6"/>
    <mergeCell ref="O5:P6"/>
    <mergeCell ref="E5:F6"/>
    <mergeCell ref="G5:G6"/>
    <mergeCell ref="P10:P11"/>
    <mergeCell ref="I15:I16"/>
    <mergeCell ref="M20:M21"/>
    <mergeCell ref="N15:N16"/>
    <mergeCell ref="J14:J18"/>
    <mergeCell ref="B29:C29"/>
    <mergeCell ref="A9:A13"/>
    <mergeCell ref="A24:A28"/>
    <mergeCell ref="A14:A18"/>
    <mergeCell ref="A19:A23"/>
    <mergeCell ref="A5:A6"/>
    <mergeCell ref="B5:C6"/>
    <mergeCell ref="D5:D6"/>
    <mergeCell ref="D29:M29"/>
    <mergeCell ref="J25:J26"/>
    <mergeCell ref="H5:H6"/>
    <mergeCell ref="I5:I6"/>
    <mergeCell ref="J5:K6"/>
  </mergeCells>
  <phoneticPr fontId="2"/>
  <dataValidations count="1">
    <dataValidation type="list" allowBlank="1" showInputMessage="1" showErrorMessage="1" sqref="F3">
      <formula1>$S$2:$S$9</formula1>
    </dataValidation>
  </dataValidations>
  <pageMargins left="0.9055118110236221" right="0" top="0.74803149606299213" bottom="0.15748031496062992" header="0.31496062992125984" footer="0.31496062992125984"/>
  <pageSetup paperSize="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V34"/>
  <sheetViews>
    <sheetView zoomScale="70" zoomScaleNormal="70" workbookViewId="0">
      <selection activeCell="O28" sqref="O28"/>
    </sheetView>
  </sheetViews>
  <sheetFormatPr defaultRowHeight="13.5"/>
  <cols>
    <col min="1" max="2" width="12.25" style="1" customWidth="1"/>
    <col min="3" max="15" width="12.25" style="2" customWidth="1"/>
    <col min="16" max="16" width="12.25" style="1" customWidth="1"/>
    <col min="17" max="17" width="9" style="1"/>
    <col min="18" max="18" width="15.25" style="1" bestFit="1" customWidth="1"/>
    <col min="19" max="16384" width="9" style="1"/>
  </cols>
  <sheetData>
    <row r="1" spans="1:22" ht="29.25" customHeight="1">
      <c r="A1" s="290" t="s">
        <v>64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2"/>
    </row>
    <row r="2" spans="1:22" ht="14.25" thickBot="1">
      <c r="A2" s="85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5"/>
      <c r="R2" s="1" t="s">
        <v>68</v>
      </c>
    </row>
    <row r="3" spans="1:22" ht="35.25" customHeight="1" thickBot="1">
      <c r="A3" s="87" t="s">
        <v>65</v>
      </c>
      <c r="B3" s="293" t="s">
        <v>66</v>
      </c>
      <c r="C3" s="293"/>
      <c r="D3" s="294"/>
      <c r="E3" s="87" t="s">
        <v>67</v>
      </c>
      <c r="F3" s="88" t="s">
        <v>70</v>
      </c>
      <c r="G3" s="86"/>
      <c r="H3" s="86"/>
      <c r="I3" s="86"/>
      <c r="J3" s="86"/>
      <c r="K3" s="86"/>
      <c r="L3" s="86"/>
      <c r="M3" s="86"/>
      <c r="N3" s="86"/>
      <c r="O3" s="86"/>
      <c r="P3" s="85"/>
      <c r="Q3" s="1">
        <v>1</v>
      </c>
      <c r="R3" s="1" t="s">
        <v>70</v>
      </c>
    </row>
    <row r="4" spans="1:22" ht="36.75" customHeight="1" thickBot="1">
      <c r="A4" s="295" t="s">
        <v>31</v>
      </c>
      <c r="B4" s="296"/>
      <c r="C4" s="89">
        <f>P9+I14+M19+N14+J24+O24</f>
        <v>0.43489999999999995</v>
      </c>
      <c r="D4" s="90" t="s">
        <v>56</v>
      </c>
      <c r="E4" s="297">
        <v>500000000</v>
      </c>
      <c r="F4" s="298"/>
      <c r="G4" s="91" t="s">
        <v>55</v>
      </c>
      <c r="H4" s="92">
        <f>'Sheet2 (2)'!F16</f>
        <v>2.257996E-2</v>
      </c>
      <c r="I4" s="91" t="s">
        <v>48</v>
      </c>
      <c r="J4" s="299">
        <f>'Sheet2 (2)'!G16</f>
        <v>11289980</v>
      </c>
      <c r="K4" s="300"/>
      <c r="L4" s="288" t="s">
        <v>60</v>
      </c>
      <c r="M4" s="301"/>
      <c r="N4" s="93">
        <v>0.13</v>
      </c>
      <c r="O4" s="302">
        <f>N4*E5*H5</f>
        <v>16616924.350000001</v>
      </c>
      <c r="P4" s="303"/>
      <c r="Q4" s="1">
        <v>2</v>
      </c>
      <c r="R4" s="1" t="s">
        <v>69</v>
      </c>
    </row>
    <row r="5" spans="1:22" ht="36.75" customHeight="1" thickBot="1">
      <c r="A5" s="94" t="s">
        <v>61</v>
      </c>
      <c r="B5" s="304">
        <f>M5-J4-O4</f>
        <v>65829591.983333327</v>
      </c>
      <c r="C5" s="305"/>
      <c r="D5" s="95" t="s">
        <v>57</v>
      </c>
      <c r="E5" s="306">
        <f>E4+J4</f>
        <v>511289980</v>
      </c>
      <c r="F5" s="307"/>
      <c r="G5" s="96" t="s">
        <v>58</v>
      </c>
      <c r="H5" s="97">
        <v>0.25</v>
      </c>
      <c r="I5" s="96" t="s">
        <v>62</v>
      </c>
      <c r="J5" s="308">
        <f>E5*H5+(E5*H5*(N4-0.03))</f>
        <v>140604744.5</v>
      </c>
      <c r="K5" s="307"/>
      <c r="L5" s="98" t="s">
        <v>59</v>
      </c>
      <c r="M5" s="306">
        <f>(J5/3)*2</f>
        <v>93736496.333333328</v>
      </c>
      <c r="N5" s="307"/>
      <c r="O5" s="86"/>
      <c r="P5" s="85"/>
      <c r="Q5" s="1">
        <v>3</v>
      </c>
      <c r="R5" s="23" t="s">
        <v>71</v>
      </c>
    </row>
    <row r="6" spans="1:22" ht="19.5" customHeight="1">
      <c r="A6" s="99" t="s">
        <v>63</v>
      </c>
      <c r="B6" s="100"/>
      <c r="C6" s="101"/>
      <c r="D6" s="102"/>
      <c r="E6" s="103"/>
      <c r="F6" s="103"/>
      <c r="G6" s="103"/>
      <c r="H6" s="104"/>
      <c r="I6" s="103"/>
      <c r="J6" s="105"/>
      <c r="K6" s="103"/>
      <c r="L6" s="102"/>
      <c r="M6" s="103"/>
      <c r="N6" s="103"/>
      <c r="O6" s="86"/>
      <c r="P6" s="85"/>
      <c r="R6" s="23"/>
      <c r="V6" s="33"/>
    </row>
    <row r="7" spans="1:22" ht="8.25" customHeight="1" thickBot="1">
      <c r="A7" s="85"/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5"/>
    </row>
    <row r="8" spans="1:22" ht="42.75" customHeight="1" thickBot="1">
      <c r="A8" s="288" t="s">
        <v>14</v>
      </c>
      <c r="B8" s="106"/>
      <c r="C8" s="107" t="s">
        <v>0</v>
      </c>
      <c r="D8" s="107" t="s">
        <v>1</v>
      </c>
      <c r="E8" s="107" t="s">
        <v>2</v>
      </c>
      <c r="F8" s="107" t="s">
        <v>3</v>
      </c>
      <c r="G8" s="107" t="s">
        <v>46</v>
      </c>
      <c r="H8" s="107" t="s">
        <v>47</v>
      </c>
      <c r="I8" s="107" t="s">
        <v>4</v>
      </c>
      <c r="J8" s="107" t="s">
        <v>5</v>
      </c>
      <c r="K8" s="107" t="s">
        <v>9</v>
      </c>
      <c r="L8" s="107" t="s">
        <v>8</v>
      </c>
      <c r="M8" s="107" t="s">
        <v>6</v>
      </c>
      <c r="N8" s="108" t="s">
        <v>7</v>
      </c>
      <c r="O8" s="107" t="s">
        <v>28</v>
      </c>
      <c r="P8" s="109" t="s">
        <v>11</v>
      </c>
      <c r="R8" s="51"/>
    </row>
    <row r="9" spans="1:22" ht="22.5" customHeight="1" thickTop="1">
      <c r="A9" s="289"/>
      <c r="B9" s="110" t="s">
        <v>10</v>
      </c>
      <c r="C9" s="111">
        <f>入力!C10</f>
        <v>0</v>
      </c>
      <c r="D9" s="111">
        <f>入力!D10</f>
        <v>0</v>
      </c>
      <c r="E9" s="111">
        <f>入力!E10</f>
        <v>1</v>
      </c>
      <c r="F9" s="111">
        <f>入力!F10</f>
        <v>1</v>
      </c>
      <c r="G9" s="111">
        <f>入力!G10</f>
        <v>0</v>
      </c>
      <c r="H9" s="111">
        <f>入力!H10</f>
        <v>1</v>
      </c>
      <c r="I9" s="111">
        <f>入力!I10</f>
        <v>0</v>
      </c>
      <c r="J9" s="111">
        <f>入力!J10</f>
        <v>0</v>
      </c>
      <c r="K9" s="111">
        <f>入力!K10</f>
        <v>0</v>
      </c>
      <c r="L9" s="111">
        <f>入力!L10</f>
        <v>0</v>
      </c>
      <c r="M9" s="111">
        <f>入力!M10</f>
        <v>0</v>
      </c>
      <c r="N9" s="111">
        <f>入力!N10</f>
        <v>0</v>
      </c>
      <c r="O9" s="111">
        <f>入力!O10</f>
        <v>0</v>
      </c>
      <c r="P9" s="309">
        <f>C9*C10+D9*D10+E9*E10+F9*F10+I9*I10+J9*J10+K9*K10+L9*L10+M9*M10+N9*N10+O9*O10+G9*G10+H9*H10</f>
        <v>3.3999999999999996E-2</v>
      </c>
    </row>
    <row r="10" spans="1:22" ht="22.5" customHeight="1">
      <c r="A10" s="289"/>
      <c r="B10" s="112" t="s">
        <v>11</v>
      </c>
      <c r="C10" s="113">
        <f>+F10</f>
        <v>6.0000000000000001E-3</v>
      </c>
      <c r="D10" s="113">
        <v>6.0999999999999999E-2</v>
      </c>
      <c r="E10" s="113">
        <v>2.1999999999999999E-2</v>
      </c>
      <c r="F10" s="113">
        <v>6.0000000000000001E-3</v>
      </c>
      <c r="G10" s="113">
        <v>6.0000000000000001E-3</v>
      </c>
      <c r="H10" s="113">
        <v>6.0000000000000001E-3</v>
      </c>
      <c r="I10" s="113">
        <f>C10+D10</f>
        <v>6.7000000000000004E-2</v>
      </c>
      <c r="J10" s="113">
        <f>C10+E10</f>
        <v>2.7999999999999997E-2</v>
      </c>
      <c r="K10" s="113">
        <f>D10+E10</f>
        <v>8.299999999999999E-2</v>
      </c>
      <c r="L10" s="113">
        <f>C10+D10+E10</f>
        <v>8.8999999999999996E-2</v>
      </c>
      <c r="M10" s="113">
        <f>C10+E10+F10*0.5</f>
        <v>3.0999999999999996E-2</v>
      </c>
      <c r="N10" s="114">
        <f>C10+D10+E10+F10*0.5</f>
        <v>9.1999999999999998E-2</v>
      </c>
      <c r="O10" s="113">
        <f>C10+F10</f>
        <v>1.2E-2</v>
      </c>
      <c r="P10" s="310"/>
    </row>
    <row r="11" spans="1:22" ht="22.5" customHeight="1">
      <c r="A11" s="289"/>
      <c r="B11" s="112" t="str">
        <f>入力!B12</f>
        <v>アップする</v>
      </c>
      <c r="C11" s="112">
        <f>入力!C12</f>
        <v>1</v>
      </c>
      <c r="D11" s="112">
        <f>入力!D12</f>
        <v>1</v>
      </c>
      <c r="E11" s="112">
        <f>入力!E12</f>
        <v>1</v>
      </c>
      <c r="F11" s="112">
        <f>入力!F12</f>
        <v>0</v>
      </c>
      <c r="G11" s="112">
        <f>入力!G12</f>
        <v>1</v>
      </c>
      <c r="H11" s="112">
        <f>入力!H12</f>
        <v>0</v>
      </c>
      <c r="I11" s="112">
        <f>入力!I12</f>
        <v>1</v>
      </c>
      <c r="J11" s="112">
        <f>入力!J12</f>
        <v>1</v>
      </c>
      <c r="K11" s="112">
        <f>入力!K12</f>
        <v>1</v>
      </c>
      <c r="L11" s="112">
        <f>入力!L12</f>
        <v>1</v>
      </c>
      <c r="M11" s="112">
        <f>入力!M12</f>
        <v>1</v>
      </c>
      <c r="N11" s="112">
        <f>入力!N12</f>
        <v>1</v>
      </c>
      <c r="O11" s="112">
        <f>入力!O12</f>
        <v>1</v>
      </c>
      <c r="P11" s="112" t="str">
        <f>入力!P12</f>
        <v>-</v>
      </c>
    </row>
    <row r="12" spans="1:22" ht="22.5" customHeight="1" thickBot="1">
      <c r="A12" s="289"/>
      <c r="B12" s="115" t="s">
        <v>33</v>
      </c>
      <c r="C12" s="116">
        <f>2%*C11</f>
        <v>0.02</v>
      </c>
      <c r="D12" s="116">
        <f>5%*D11</f>
        <v>0.05</v>
      </c>
      <c r="E12" s="116">
        <f>1%*E11</f>
        <v>0.01</v>
      </c>
      <c r="F12" s="116">
        <f>0*F11</f>
        <v>0</v>
      </c>
      <c r="G12" s="116">
        <f>0.5%*G11</f>
        <v>5.0000000000000001E-3</v>
      </c>
      <c r="H12" s="116">
        <f>0.5%*H11</f>
        <v>0</v>
      </c>
      <c r="I12" s="116">
        <f>7%*I11</f>
        <v>7.0000000000000007E-2</v>
      </c>
      <c r="J12" s="118">
        <f>3%*J11</f>
        <v>0.03</v>
      </c>
      <c r="K12" s="118">
        <f>6%*K11</f>
        <v>0.06</v>
      </c>
      <c r="L12" s="118">
        <f>8%*L11</f>
        <v>0.08</v>
      </c>
      <c r="M12" s="118">
        <f>3%*M11</f>
        <v>0.03</v>
      </c>
      <c r="N12" s="118">
        <f>8%*N11</f>
        <v>0.08</v>
      </c>
      <c r="O12" s="118">
        <f>2%*O11</f>
        <v>0.02</v>
      </c>
      <c r="P12" s="119">
        <f>C9*C12+D9*D12+E9*E12+F9*F12+G9*G12+H9*H12+I9*I12+J9*J12+K9*K12+L9*L12+M9*M12+N9*N12+O9*O12</f>
        <v>0.01</v>
      </c>
    </row>
    <row r="13" spans="1:22" ht="42.75" customHeight="1" thickBot="1">
      <c r="A13" s="311" t="s">
        <v>15</v>
      </c>
      <c r="B13" s="106"/>
      <c r="C13" s="107" t="s">
        <v>12</v>
      </c>
      <c r="D13" s="107" t="s">
        <v>49</v>
      </c>
      <c r="E13" s="120"/>
      <c r="F13" s="107" t="s">
        <v>13</v>
      </c>
      <c r="G13" s="107" t="s">
        <v>54</v>
      </c>
      <c r="H13" s="107" t="s">
        <v>81</v>
      </c>
      <c r="I13" s="121" t="s">
        <v>11</v>
      </c>
      <c r="J13" s="311" t="s">
        <v>23</v>
      </c>
      <c r="K13" s="106"/>
      <c r="L13" s="107" t="s">
        <v>12</v>
      </c>
      <c r="M13" s="107" t="s">
        <v>22</v>
      </c>
      <c r="N13" s="121" t="s">
        <v>11</v>
      </c>
      <c r="O13" s="86"/>
      <c r="P13" s="86"/>
    </row>
    <row r="14" spans="1:22" ht="22.5" customHeight="1" thickTop="1">
      <c r="A14" s="312"/>
      <c r="B14" s="122" t="s">
        <v>10</v>
      </c>
      <c r="C14" s="123">
        <f>入力!C15</f>
        <v>0</v>
      </c>
      <c r="D14" s="123">
        <f>入力!D15</f>
        <v>1</v>
      </c>
      <c r="E14" s="123"/>
      <c r="F14" s="123">
        <f>入力!F15</f>
        <v>1</v>
      </c>
      <c r="G14" s="123">
        <f>入力!G15</f>
        <v>0</v>
      </c>
      <c r="H14" s="123">
        <f>入力!H15</f>
        <v>0</v>
      </c>
      <c r="I14" s="315">
        <f>C14*C15+D14*D15+E14*E15+F14*F15</f>
        <v>0.25700000000000001</v>
      </c>
      <c r="J14" s="312"/>
      <c r="K14" s="122" t="s">
        <v>10</v>
      </c>
      <c r="L14" s="123">
        <f>入力!L15</f>
        <v>1</v>
      </c>
      <c r="M14" s="123">
        <f>入力!M15</f>
        <v>0</v>
      </c>
      <c r="N14" s="315">
        <f>L14*L15+M14*M15</f>
        <v>0</v>
      </c>
      <c r="O14" s="86"/>
      <c r="P14" s="86"/>
    </row>
    <row r="15" spans="1:22" ht="22.5" customHeight="1">
      <c r="A15" s="312"/>
      <c r="B15" s="112" t="s">
        <v>11</v>
      </c>
      <c r="C15" s="113">
        <v>0</v>
      </c>
      <c r="D15" s="113">
        <v>0.22</v>
      </c>
      <c r="E15" s="113"/>
      <c r="F15" s="113">
        <v>3.6999999999999998E-2</v>
      </c>
      <c r="G15" s="113">
        <v>5.8000000000000003E-2</v>
      </c>
      <c r="H15" s="143">
        <v>0.1</v>
      </c>
      <c r="I15" s="316"/>
      <c r="J15" s="312"/>
      <c r="K15" s="112" t="s">
        <v>11</v>
      </c>
      <c r="L15" s="113">
        <v>0</v>
      </c>
      <c r="M15" s="113">
        <v>0.01</v>
      </c>
      <c r="N15" s="316"/>
      <c r="O15" s="86"/>
      <c r="P15" s="86"/>
    </row>
    <row r="16" spans="1:22" ht="22.5" customHeight="1">
      <c r="A16" s="313"/>
      <c r="B16" s="112" t="str">
        <f>入力!B17</f>
        <v>アップする</v>
      </c>
      <c r="C16" s="112">
        <f>入力!C17</f>
        <v>0</v>
      </c>
      <c r="D16" s="112">
        <f>入力!D17</f>
        <v>0</v>
      </c>
      <c r="E16" s="112"/>
      <c r="F16" s="112">
        <f>入力!F17</f>
        <v>1</v>
      </c>
      <c r="G16" s="112">
        <f>入力!G17</f>
        <v>1</v>
      </c>
      <c r="H16" s="112">
        <f>入力!H17</f>
        <v>1</v>
      </c>
      <c r="I16" s="112" t="str">
        <f>入力!I17</f>
        <v>-</v>
      </c>
      <c r="J16" s="313"/>
      <c r="K16" s="151" t="str">
        <f>入力!K17</f>
        <v>アップする</v>
      </c>
      <c r="L16" s="151">
        <f>入力!L17</f>
        <v>0</v>
      </c>
      <c r="M16" s="151">
        <f>入力!M17</f>
        <v>1</v>
      </c>
      <c r="N16" s="151" t="str">
        <f>入力!N17</f>
        <v>-</v>
      </c>
      <c r="O16" s="86"/>
      <c r="P16" s="86"/>
    </row>
    <row r="17" spans="1:16" ht="22.5" customHeight="1" thickBot="1">
      <c r="A17" s="314"/>
      <c r="B17" s="134" t="s">
        <v>33</v>
      </c>
      <c r="C17" s="118"/>
      <c r="D17" s="118">
        <f>10%*D16</f>
        <v>0</v>
      </c>
      <c r="E17" s="118"/>
      <c r="F17" s="118">
        <v>0.14000000000000001</v>
      </c>
      <c r="G17" s="118">
        <v>0.14499999999999999</v>
      </c>
      <c r="H17" s="129">
        <v>0.1</v>
      </c>
      <c r="I17" s="133">
        <f>C14*C17+D14*D17+E14*E17+F14*F17+G14*G17+H14*H17</f>
        <v>0.14000000000000001</v>
      </c>
      <c r="J17" s="314"/>
      <c r="K17" s="124" t="s">
        <v>33</v>
      </c>
      <c r="L17" s="118"/>
      <c r="M17" s="118"/>
      <c r="N17" s="131"/>
      <c r="O17" s="86"/>
      <c r="P17" s="86"/>
    </row>
    <row r="18" spans="1:16" ht="42.75" customHeight="1" thickBot="1">
      <c r="A18" s="288" t="s">
        <v>16</v>
      </c>
      <c r="B18" s="106"/>
      <c r="C18" s="107" t="s">
        <v>12</v>
      </c>
      <c r="D18" s="107" t="s">
        <v>51</v>
      </c>
      <c r="E18" s="107"/>
      <c r="F18" s="107"/>
      <c r="G18" s="107" t="s">
        <v>17</v>
      </c>
      <c r="H18" s="107" t="s">
        <v>18</v>
      </c>
      <c r="I18" s="107" t="s">
        <v>19</v>
      </c>
      <c r="J18" s="107" t="s">
        <v>21</v>
      </c>
      <c r="K18" s="107" t="s">
        <v>53</v>
      </c>
      <c r="L18" s="107" t="s">
        <v>20</v>
      </c>
      <c r="M18" s="121" t="s">
        <v>11</v>
      </c>
      <c r="N18" s="86"/>
      <c r="O18" s="86"/>
      <c r="P18" s="86"/>
    </row>
    <row r="19" spans="1:16" ht="22.5" customHeight="1" thickTop="1">
      <c r="A19" s="289"/>
      <c r="B19" s="122" t="s">
        <v>10</v>
      </c>
      <c r="C19" s="123">
        <f>入力!C20</f>
        <v>0</v>
      </c>
      <c r="D19" s="123">
        <f>入力!D20</f>
        <v>1</v>
      </c>
      <c r="E19" s="123">
        <f>入力!E20</f>
        <v>0</v>
      </c>
      <c r="F19" s="123">
        <f>入力!F20</f>
        <v>0</v>
      </c>
      <c r="G19" s="123">
        <f>入力!G20</f>
        <v>1</v>
      </c>
      <c r="H19" s="123">
        <f>入力!H20</f>
        <v>0</v>
      </c>
      <c r="I19" s="123">
        <f>入力!I20</f>
        <v>0</v>
      </c>
      <c r="J19" s="123">
        <f>入力!J20</f>
        <v>0</v>
      </c>
      <c r="K19" s="123">
        <f>入力!K20</f>
        <v>0</v>
      </c>
      <c r="L19" s="123">
        <f>入力!L20</f>
        <v>0</v>
      </c>
      <c r="M19" s="315">
        <f>C19*C20+D19*D20+E19*E20+F19*F20+I19*I20+J19*J20+K19*K20+L19*L20+G19*G20+H19*H20</f>
        <v>0.1439</v>
      </c>
      <c r="N19" s="86"/>
      <c r="O19" s="86"/>
      <c r="P19" s="86"/>
    </row>
    <row r="20" spans="1:16" ht="22.5" customHeight="1">
      <c r="A20" s="289"/>
      <c r="B20" s="112" t="s">
        <v>11</v>
      </c>
      <c r="C20" s="113">
        <v>0</v>
      </c>
      <c r="D20" s="113">
        <v>0.14000000000000001</v>
      </c>
      <c r="E20" s="113">
        <v>0.14000000000000001</v>
      </c>
      <c r="F20" s="125"/>
      <c r="G20" s="125">
        <v>3.8999999999999998E-3</v>
      </c>
      <c r="H20" s="125">
        <v>5.1000000000000004E-3</v>
      </c>
      <c r="I20" s="113">
        <v>0.05</v>
      </c>
      <c r="J20" s="125">
        <v>8.5300000000000001E-2</v>
      </c>
      <c r="K20" s="126">
        <v>0.03</v>
      </c>
      <c r="L20" s="125">
        <v>9.3700000000000006E-2</v>
      </c>
      <c r="M20" s="316"/>
      <c r="N20" s="86"/>
      <c r="O20" s="86"/>
      <c r="P20" s="127"/>
    </row>
    <row r="21" spans="1:16" ht="22.5" customHeight="1">
      <c r="A21" s="289"/>
      <c r="B21" s="151" t="str">
        <f>入力!B22</f>
        <v>アップする</v>
      </c>
      <c r="C21" s="151">
        <f>入力!C22</f>
        <v>0</v>
      </c>
      <c r="D21" s="151"/>
      <c r="E21" s="151">
        <f>入力!E22</f>
        <v>1</v>
      </c>
      <c r="F21" s="151">
        <f>入力!F22</f>
        <v>1</v>
      </c>
      <c r="G21" s="151">
        <f>入力!G22</f>
        <v>1</v>
      </c>
      <c r="H21" s="151">
        <f>入力!H22</f>
        <v>1</v>
      </c>
      <c r="I21" s="151">
        <f>入力!I22</f>
        <v>1</v>
      </c>
      <c r="J21" s="151">
        <f>入力!J22</f>
        <v>1</v>
      </c>
      <c r="K21" s="151">
        <f>入力!K22</f>
        <v>1</v>
      </c>
      <c r="L21" s="151">
        <f>入力!L22</f>
        <v>1</v>
      </c>
      <c r="M21" s="151">
        <f>入力!M22</f>
        <v>0</v>
      </c>
      <c r="N21" s="86"/>
      <c r="O21" s="86"/>
      <c r="P21" s="127"/>
    </row>
    <row r="22" spans="1:16" ht="22.5" customHeight="1" thickBot="1">
      <c r="A22" s="289"/>
      <c r="B22" s="124" t="s">
        <v>33</v>
      </c>
      <c r="C22" s="128"/>
      <c r="D22" s="128">
        <f>18%*D21</f>
        <v>0</v>
      </c>
      <c r="E22" s="128"/>
      <c r="F22" s="129"/>
      <c r="G22" s="129">
        <f>3%*G21</f>
        <v>0.03</v>
      </c>
      <c r="H22" s="129">
        <f>3%*H21</f>
        <v>0.03</v>
      </c>
      <c r="I22" s="129">
        <f>3%*I21</f>
        <v>0.03</v>
      </c>
      <c r="J22" s="129">
        <f>4%*J21</f>
        <v>0.04</v>
      </c>
      <c r="K22" s="129">
        <f>5%*K21</f>
        <v>0.05</v>
      </c>
      <c r="L22" s="129">
        <f>6%*L21</f>
        <v>0.06</v>
      </c>
      <c r="M22" s="130">
        <f>D19*D22+E19*E22+F19*F22+G19*G22+H19*H22+I19*I22+J19*J22+K19*K22+L19*L22</f>
        <v>0.03</v>
      </c>
      <c r="N22" s="86"/>
      <c r="O22" s="86"/>
      <c r="P22" s="86"/>
    </row>
    <row r="23" spans="1:16" ht="41.25" customHeight="1" thickBot="1">
      <c r="A23" s="311" t="s">
        <v>24</v>
      </c>
      <c r="B23" s="106"/>
      <c r="C23" s="107" t="s">
        <v>12</v>
      </c>
      <c r="D23" s="107" t="s">
        <v>25</v>
      </c>
      <c r="E23" s="107" t="s">
        <v>26</v>
      </c>
      <c r="F23" s="107" t="s">
        <v>27</v>
      </c>
      <c r="G23" s="107"/>
      <c r="H23" s="107"/>
      <c r="I23" s="107" t="s">
        <v>32</v>
      </c>
      <c r="J23" s="121" t="s">
        <v>11</v>
      </c>
      <c r="K23" s="232" t="s">
        <v>29</v>
      </c>
      <c r="L23" s="43"/>
      <c r="M23" s="44" t="s">
        <v>12</v>
      </c>
      <c r="N23" s="44" t="s">
        <v>30</v>
      </c>
      <c r="O23" s="45" t="s">
        <v>11</v>
      </c>
      <c r="P23" s="86"/>
    </row>
    <row r="24" spans="1:16" ht="22.5" customHeight="1" thickTop="1">
      <c r="A24" s="312"/>
      <c r="B24" s="122" t="s">
        <v>10</v>
      </c>
      <c r="C24" s="123">
        <f>入力!C25</f>
        <v>0</v>
      </c>
      <c r="D24" s="123">
        <f>入力!D25</f>
        <v>0</v>
      </c>
      <c r="E24" s="123">
        <f>入力!E25</f>
        <v>1</v>
      </c>
      <c r="F24" s="123">
        <f>入力!F25</f>
        <v>0</v>
      </c>
      <c r="G24" s="123">
        <f>入力!G25</f>
        <v>0</v>
      </c>
      <c r="H24" s="123">
        <f>入力!H25</f>
        <v>0</v>
      </c>
      <c r="I24" s="123">
        <f>入力!I25</f>
        <v>1</v>
      </c>
      <c r="J24" s="315">
        <f>C24*C25+D24*D25+E24*E25+F24*F25+I24*I25</f>
        <v>0</v>
      </c>
      <c r="K24" s="238"/>
      <c r="L24" s="47" t="s">
        <v>10</v>
      </c>
      <c r="M24" s="48">
        <f>入力!M25</f>
        <v>1</v>
      </c>
      <c r="N24" s="48">
        <f>入力!N25</f>
        <v>0</v>
      </c>
      <c r="O24" s="235">
        <f>M24*M25+N24*N25</f>
        <v>0</v>
      </c>
      <c r="P24" s="86"/>
    </row>
    <row r="25" spans="1:16" ht="22.5" customHeight="1">
      <c r="A25" s="312"/>
      <c r="B25" s="112" t="s">
        <v>11</v>
      </c>
      <c r="C25" s="113">
        <v>0</v>
      </c>
      <c r="D25" s="113"/>
      <c r="E25" s="125"/>
      <c r="F25" s="113">
        <v>5.0000000000000001E-3</v>
      </c>
      <c r="G25" s="126"/>
      <c r="H25" s="126"/>
      <c r="I25" s="126"/>
      <c r="J25" s="316"/>
      <c r="K25" s="238"/>
      <c r="L25" s="40" t="s">
        <v>11</v>
      </c>
      <c r="M25" s="41">
        <v>0</v>
      </c>
      <c r="N25" s="41">
        <v>0.01</v>
      </c>
      <c r="O25" s="236"/>
      <c r="P25" s="86"/>
    </row>
    <row r="26" spans="1:16" ht="22.5" customHeight="1">
      <c r="A26" s="313"/>
      <c r="B26" s="151" t="str">
        <f>入力!B27</f>
        <v>アップする</v>
      </c>
      <c r="C26" s="151">
        <f>入力!C27</f>
        <v>0</v>
      </c>
      <c r="D26" s="151">
        <f>入力!D27</f>
        <v>0</v>
      </c>
      <c r="E26" s="151">
        <f>入力!E27</f>
        <v>1</v>
      </c>
      <c r="F26" s="151">
        <f>入力!F27</f>
        <v>1</v>
      </c>
      <c r="G26" s="151">
        <f>入力!G27</f>
        <v>1</v>
      </c>
      <c r="H26" s="151">
        <f>入力!H27</f>
        <v>1</v>
      </c>
      <c r="I26" s="151">
        <f>入力!I27</f>
        <v>1</v>
      </c>
      <c r="J26" s="152"/>
      <c r="K26" s="239"/>
      <c r="L26" s="153" t="str">
        <f>入力!L27</f>
        <v>アップする</v>
      </c>
      <c r="M26" s="153">
        <f>入力!M27</f>
        <v>0</v>
      </c>
      <c r="N26" s="153">
        <f>入力!N27</f>
        <v>1</v>
      </c>
      <c r="O26" s="153" t="str">
        <f>入力!O27</f>
        <v>-</v>
      </c>
      <c r="P26" s="86"/>
    </row>
    <row r="27" spans="1:16" ht="22.5" customHeight="1" thickBot="1">
      <c r="A27" s="314"/>
      <c r="B27" s="134" t="s">
        <v>33</v>
      </c>
      <c r="C27" s="118"/>
      <c r="D27" s="118"/>
      <c r="E27" s="154"/>
      <c r="F27" s="118"/>
      <c r="G27" s="132"/>
      <c r="H27" s="132"/>
      <c r="I27" s="132"/>
      <c r="J27" s="131"/>
      <c r="K27" s="233"/>
      <c r="L27" s="50" t="s">
        <v>33</v>
      </c>
      <c r="M27" s="42"/>
      <c r="N27" s="42">
        <f>0.5%*N26</f>
        <v>5.0000000000000001E-3</v>
      </c>
      <c r="O27" s="39">
        <f>N24*N27</f>
        <v>0</v>
      </c>
      <c r="P27" s="86"/>
    </row>
    <row r="28" spans="1:16" ht="42" customHeight="1">
      <c r="C28" s="1"/>
      <c r="D28" s="1"/>
      <c r="E28" s="1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9"/>
    </row>
    <row r="29" spans="1:16" ht="22.5" customHeight="1">
      <c r="C29" s="1"/>
      <c r="D29" s="1"/>
      <c r="E29" s="1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9"/>
    </row>
    <row r="30" spans="1:16" ht="22.5" customHeight="1">
      <c r="C30" s="1"/>
      <c r="D30" s="1"/>
      <c r="E30" s="1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9"/>
    </row>
    <row r="31" spans="1:16" ht="22.5" customHeight="1">
      <c r="C31" s="1"/>
      <c r="D31" s="1"/>
      <c r="E31" s="1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9"/>
    </row>
    <row r="32" spans="1:16" ht="22.5" customHeight="1">
      <c r="C32" s="1"/>
      <c r="D32" s="1"/>
      <c r="E32" s="1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9"/>
    </row>
    <row r="33" spans="2:16">
      <c r="B33" s="49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9"/>
    </row>
    <row r="34" spans="2:16">
      <c r="B34" s="49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9"/>
    </row>
  </sheetData>
  <mergeCells count="23">
    <mergeCell ref="A23:A27"/>
    <mergeCell ref="J24:J25"/>
    <mergeCell ref="K23:K27"/>
    <mergeCell ref="O24:O25"/>
    <mergeCell ref="A13:A17"/>
    <mergeCell ref="I14:I15"/>
    <mergeCell ref="A18:A22"/>
    <mergeCell ref="M19:M20"/>
    <mergeCell ref="J13:J17"/>
    <mergeCell ref="N14:N15"/>
    <mergeCell ref="A8:A12"/>
    <mergeCell ref="A1:P1"/>
    <mergeCell ref="B3:D3"/>
    <mergeCell ref="A4:B4"/>
    <mergeCell ref="E4:F4"/>
    <mergeCell ref="J4:K4"/>
    <mergeCell ref="L4:M4"/>
    <mergeCell ref="O4:P4"/>
    <mergeCell ref="B5:C5"/>
    <mergeCell ref="E5:F5"/>
    <mergeCell ref="J5:K5"/>
    <mergeCell ref="M5:N5"/>
    <mergeCell ref="P9:P10"/>
  </mergeCells>
  <phoneticPr fontId="2"/>
  <dataValidations count="1">
    <dataValidation type="list" allowBlank="1" showInputMessage="1" showErrorMessage="1" sqref="F3">
      <formula1>$R$2:$R$8</formula1>
    </dataValidation>
  </dataValidations>
  <pageMargins left="0.9055118110236221" right="0" top="0.74803149606299213" bottom="0.15748031496062992" header="0.31496062992125984" footer="0.31496062992125984"/>
  <pageSetup paperSize="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V37"/>
  <sheetViews>
    <sheetView zoomScale="70" zoomScaleNormal="70" workbookViewId="0">
      <selection activeCell="O28" sqref="O28"/>
    </sheetView>
  </sheetViews>
  <sheetFormatPr defaultRowHeight="13.5"/>
  <cols>
    <col min="1" max="2" width="12.25" style="85" customWidth="1"/>
    <col min="3" max="15" width="12.25" style="86" customWidth="1"/>
    <col min="16" max="16" width="12.25" style="85" customWidth="1"/>
    <col min="17" max="17" width="17.125" style="85" customWidth="1"/>
    <col min="18" max="18" width="12.125" style="85" bestFit="1" customWidth="1"/>
    <col min="19" max="16384" width="9" style="85"/>
  </cols>
  <sheetData>
    <row r="1" spans="1:22" ht="29.25" customHeight="1">
      <c r="A1" s="290" t="s">
        <v>64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2"/>
    </row>
    <row r="2" spans="1:22" ht="14.25" thickBot="1">
      <c r="R2" s="85" t="s">
        <v>68</v>
      </c>
    </row>
    <row r="3" spans="1:22" ht="35.25" customHeight="1" thickBot="1">
      <c r="A3" s="87" t="s">
        <v>65</v>
      </c>
      <c r="B3" s="293" t="s">
        <v>66</v>
      </c>
      <c r="C3" s="293"/>
      <c r="D3" s="294"/>
      <c r="E3" s="87" t="s">
        <v>67</v>
      </c>
      <c r="F3" s="88" t="s">
        <v>69</v>
      </c>
      <c r="Q3" s="85">
        <v>1</v>
      </c>
      <c r="R3" s="85" t="s">
        <v>70</v>
      </c>
    </row>
    <row r="4" spans="1:22" ht="36.75" customHeight="1" thickBot="1">
      <c r="A4" s="295" t="s">
        <v>31</v>
      </c>
      <c r="B4" s="296"/>
      <c r="C4" s="89">
        <f>P9+I14+M19+N14+J24+O24</f>
        <v>0.40800000000000003</v>
      </c>
      <c r="D4" s="90" t="s">
        <v>56</v>
      </c>
      <c r="E4" s="297">
        <v>500000000</v>
      </c>
      <c r="F4" s="298"/>
      <c r="G4" s="91" t="s">
        <v>55</v>
      </c>
      <c r="H4" s="92">
        <f>'Sheet2 (2)'!F16</f>
        <v>2.257996E-2</v>
      </c>
      <c r="I4" s="91" t="s">
        <v>48</v>
      </c>
      <c r="J4" s="299">
        <f>'Sheet2 (2)'!G16</f>
        <v>11289980</v>
      </c>
      <c r="K4" s="300"/>
      <c r="L4" s="288" t="s">
        <v>60</v>
      </c>
      <c r="M4" s="301"/>
      <c r="N4" s="93">
        <v>0.13</v>
      </c>
      <c r="O4" s="317">
        <f>N4*J5</f>
        <v>16616924.350000001</v>
      </c>
      <c r="P4" s="303"/>
      <c r="Q4" s="85">
        <v>2</v>
      </c>
      <c r="R4" s="85" t="s">
        <v>69</v>
      </c>
    </row>
    <row r="5" spans="1:22" ht="36.75" customHeight="1" thickBot="1">
      <c r="A5" s="94" t="s">
        <v>61</v>
      </c>
      <c r="B5" s="304">
        <f>M5-J4-O4</f>
        <v>57308092.31666667</v>
      </c>
      <c r="C5" s="305"/>
      <c r="D5" s="95" t="s">
        <v>57</v>
      </c>
      <c r="E5" s="306">
        <f>E4+J4</f>
        <v>511289980</v>
      </c>
      <c r="F5" s="307"/>
      <c r="G5" s="96" t="s">
        <v>58</v>
      </c>
      <c r="H5" s="97">
        <v>0.25</v>
      </c>
      <c r="I5" s="96" t="s">
        <v>62</v>
      </c>
      <c r="J5" s="308">
        <f>E5*H5</f>
        <v>127822495</v>
      </c>
      <c r="K5" s="307"/>
      <c r="L5" s="98" t="s">
        <v>59</v>
      </c>
      <c r="M5" s="306">
        <f>(J5/3)*2</f>
        <v>85214996.666666672</v>
      </c>
      <c r="N5" s="307"/>
      <c r="Q5" s="85">
        <v>3</v>
      </c>
      <c r="R5" s="135" t="s">
        <v>71</v>
      </c>
    </row>
    <row r="6" spans="1:22" ht="19.5" customHeight="1">
      <c r="A6" s="99" t="s">
        <v>63</v>
      </c>
      <c r="B6" s="100"/>
      <c r="C6" s="101"/>
      <c r="D6" s="102"/>
      <c r="E6" s="103"/>
      <c r="F6" s="103"/>
      <c r="G6" s="103"/>
      <c r="H6" s="104"/>
      <c r="I6" s="103"/>
      <c r="J6" s="105"/>
      <c r="K6" s="103"/>
      <c r="L6" s="102"/>
      <c r="M6" s="103"/>
      <c r="N6" s="103"/>
      <c r="R6" s="135"/>
      <c r="V6" s="136"/>
    </row>
    <row r="7" spans="1:22" ht="8.25" customHeight="1" thickBot="1"/>
    <row r="8" spans="1:22" ht="42.75" customHeight="1" thickBot="1">
      <c r="A8" s="288" t="s">
        <v>14</v>
      </c>
      <c r="B8" s="106"/>
      <c r="C8" s="107" t="s">
        <v>0</v>
      </c>
      <c r="D8" s="107" t="s">
        <v>1</v>
      </c>
      <c r="E8" s="107" t="s">
        <v>2</v>
      </c>
      <c r="F8" s="107" t="s">
        <v>3</v>
      </c>
      <c r="G8" s="107" t="s">
        <v>46</v>
      </c>
      <c r="H8" s="107" t="s">
        <v>47</v>
      </c>
      <c r="I8" s="107" t="s">
        <v>4</v>
      </c>
      <c r="J8" s="107" t="s">
        <v>5</v>
      </c>
      <c r="K8" s="107" t="s">
        <v>9</v>
      </c>
      <c r="L8" s="107" t="s">
        <v>8</v>
      </c>
      <c r="M8" s="107" t="s">
        <v>6</v>
      </c>
      <c r="N8" s="108" t="s">
        <v>7</v>
      </c>
      <c r="O8" s="107" t="s">
        <v>28</v>
      </c>
      <c r="P8" s="109" t="s">
        <v>11</v>
      </c>
    </row>
    <row r="9" spans="1:22" ht="22.5" customHeight="1" thickTop="1">
      <c r="A9" s="289"/>
      <c r="B9" s="110" t="s">
        <v>10</v>
      </c>
      <c r="C9" s="111">
        <f>入力!C10</f>
        <v>0</v>
      </c>
      <c r="D9" s="111">
        <f>入力!D10</f>
        <v>0</v>
      </c>
      <c r="E9" s="111">
        <f>入力!E10</f>
        <v>1</v>
      </c>
      <c r="F9" s="111">
        <f>入力!F10</f>
        <v>1</v>
      </c>
      <c r="G9" s="111">
        <f>入力!G10</f>
        <v>0</v>
      </c>
      <c r="H9" s="111">
        <f>入力!H10</f>
        <v>1</v>
      </c>
      <c r="I9" s="111">
        <f>入力!I10</f>
        <v>0</v>
      </c>
      <c r="J9" s="111">
        <f>入力!J10</f>
        <v>0</v>
      </c>
      <c r="K9" s="111">
        <f>入力!K10</f>
        <v>0</v>
      </c>
      <c r="L9" s="111">
        <f>入力!L10</f>
        <v>0</v>
      </c>
      <c r="M9" s="111">
        <f>入力!M10</f>
        <v>0</v>
      </c>
      <c r="N9" s="111">
        <f>入力!N10</f>
        <v>0</v>
      </c>
      <c r="O9" s="111">
        <f>入力!O10</f>
        <v>0</v>
      </c>
      <c r="P9" s="309">
        <f>C9*C10+D9*D10+E9*E10+F9*F10+I9*I10+J9*J10+K9*K10+L9*L10+M9*M10+N9*N10+O9*O10+G9*G10+H9*H10</f>
        <v>9.0000000000000011E-3</v>
      </c>
    </row>
    <row r="10" spans="1:22" ht="22.5" customHeight="1">
      <c r="A10" s="289"/>
      <c r="B10" s="112" t="s">
        <v>11</v>
      </c>
      <c r="C10" s="113">
        <v>3.0000000000000001E-3</v>
      </c>
      <c r="D10" s="113">
        <v>0.02</v>
      </c>
      <c r="E10" s="113">
        <v>7.0000000000000001E-3</v>
      </c>
      <c r="F10" s="113">
        <v>1E-3</v>
      </c>
      <c r="G10" s="113">
        <v>1E-3</v>
      </c>
      <c r="H10" s="113">
        <v>1E-3</v>
      </c>
      <c r="I10" s="113">
        <f>C10+D10</f>
        <v>2.3E-2</v>
      </c>
      <c r="J10" s="113">
        <f>C10+E10</f>
        <v>0.01</v>
      </c>
      <c r="K10" s="113">
        <f>D10+E10</f>
        <v>2.7E-2</v>
      </c>
      <c r="L10" s="113">
        <f>C10+D10+E10</f>
        <v>0.03</v>
      </c>
      <c r="M10" s="113">
        <f>C10+E10+F10*0.5</f>
        <v>1.0500000000000001E-2</v>
      </c>
      <c r="N10" s="114">
        <f>C10+D10+E10+F10*0.5</f>
        <v>3.0499999999999999E-2</v>
      </c>
      <c r="O10" s="113">
        <f>C10+F10</f>
        <v>4.0000000000000001E-3</v>
      </c>
      <c r="P10" s="310"/>
    </row>
    <row r="11" spans="1:22" ht="22.5" customHeight="1">
      <c r="A11" s="289"/>
      <c r="B11" s="112" t="str">
        <f>入力!B12</f>
        <v>アップする</v>
      </c>
      <c r="C11" s="112">
        <f>入力!C12</f>
        <v>1</v>
      </c>
      <c r="D11" s="112">
        <f>入力!D12</f>
        <v>1</v>
      </c>
      <c r="E11" s="112">
        <f>入力!E12</f>
        <v>1</v>
      </c>
      <c r="F11" s="112">
        <f>入力!F12</f>
        <v>0</v>
      </c>
      <c r="G11" s="112">
        <f>入力!G12</f>
        <v>1</v>
      </c>
      <c r="H11" s="112">
        <f>入力!H12</f>
        <v>0</v>
      </c>
      <c r="I11" s="112">
        <f>入力!I12</f>
        <v>1</v>
      </c>
      <c r="J11" s="112">
        <f>入力!J12</f>
        <v>1</v>
      </c>
      <c r="K11" s="112">
        <f>入力!K12</f>
        <v>1</v>
      </c>
      <c r="L11" s="112">
        <f>入力!L12</f>
        <v>1</v>
      </c>
      <c r="M11" s="112">
        <f>入力!M12</f>
        <v>1</v>
      </c>
      <c r="N11" s="112">
        <f>入力!N12</f>
        <v>1</v>
      </c>
      <c r="O11" s="112">
        <f>入力!O12</f>
        <v>1</v>
      </c>
      <c r="P11" s="112" t="str">
        <f>入力!P12</f>
        <v>-</v>
      </c>
    </row>
    <row r="12" spans="1:22" ht="22.5" customHeight="1" thickBot="1">
      <c r="A12" s="289"/>
      <c r="B12" s="115" t="s">
        <v>33</v>
      </c>
      <c r="C12" s="116">
        <f>1.5%*C11</f>
        <v>1.4999999999999999E-2</v>
      </c>
      <c r="D12" s="116">
        <f>4.5%*D11</f>
        <v>4.4999999999999998E-2</v>
      </c>
      <c r="E12" s="116">
        <f>1%*E11</f>
        <v>0.01</v>
      </c>
      <c r="F12" s="117"/>
      <c r="G12" s="117">
        <f>0.5%*G11</f>
        <v>5.0000000000000001E-3</v>
      </c>
      <c r="H12" s="117">
        <f>0.5%*H11</f>
        <v>0</v>
      </c>
      <c r="I12" s="117">
        <f>7%*I11</f>
        <v>7.0000000000000007E-2</v>
      </c>
      <c r="J12" s="118">
        <f>3%*J11</f>
        <v>0.03</v>
      </c>
      <c r="K12" s="118">
        <f>6%*K11</f>
        <v>0.06</v>
      </c>
      <c r="L12" s="118">
        <f>8%*L11</f>
        <v>0.08</v>
      </c>
      <c r="M12" s="118">
        <f>3%*M11</f>
        <v>0.03</v>
      </c>
      <c r="N12" s="118">
        <f>8%*N11</f>
        <v>0.08</v>
      </c>
      <c r="O12" s="118">
        <f>2%*O11</f>
        <v>0.02</v>
      </c>
      <c r="P12" s="119">
        <f>C9*C12+D9*D12+E9*E12+F9*F12+G9*G12+H9*H12+I9*I12+J9*J12+K9*K12+L9*L12+M9*M12+N9*N12+O9*O12</f>
        <v>0.01</v>
      </c>
    </row>
    <row r="13" spans="1:22" ht="42.75" customHeight="1" thickBot="1">
      <c r="A13" s="311" t="s">
        <v>15</v>
      </c>
      <c r="B13" s="106"/>
      <c r="C13" s="107" t="s">
        <v>12</v>
      </c>
      <c r="D13" s="107" t="s">
        <v>49</v>
      </c>
      <c r="E13" s="120"/>
      <c r="F13" s="107" t="s">
        <v>13</v>
      </c>
      <c r="G13" s="107" t="s">
        <v>54</v>
      </c>
      <c r="H13" s="107" t="s">
        <v>81</v>
      </c>
      <c r="I13" s="121" t="s">
        <v>11</v>
      </c>
      <c r="J13" s="311" t="s">
        <v>23</v>
      </c>
      <c r="K13" s="106"/>
      <c r="L13" s="107" t="s">
        <v>12</v>
      </c>
      <c r="M13" s="107" t="s">
        <v>22</v>
      </c>
      <c r="N13" s="121" t="s">
        <v>11</v>
      </c>
      <c r="P13" s="86"/>
    </row>
    <row r="14" spans="1:22" ht="22.5" customHeight="1" thickTop="1">
      <c r="A14" s="312"/>
      <c r="B14" s="122" t="s">
        <v>10</v>
      </c>
      <c r="C14" s="111">
        <f>入力!C15</f>
        <v>0</v>
      </c>
      <c r="D14" s="111">
        <f>入力!D15</f>
        <v>1</v>
      </c>
      <c r="E14" s="111"/>
      <c r="F14" s="111">
        <f>入力!F15</f>
        <v>1</v>
      </c>
      <c r="G14" s="111">
        <f>入力!G15</f>
        <v>0</v>
      </c>
      <c r="H14" s="111">
        <f>入力!H15</f>
        <v>0</v>
      </c>
      <c r="I14" s="315">
        <f>C14*C15+D14*D15+E14*E15+F14*F15+G14*G15+H14*H15</f>
        <v>0.217</v>
      </c>
      <c r="J14" s="312"/>
      <c r="K14" s="122" t="s">
        <v>10</v>
      </c>
      <c r="L14" s="111">
        <f>入力!L15</f>
        <v>1</v>
      </c>
      <c r="M14" s="111">
        <f>入力!M15</f>
        <v>0</v>
      </c>
      <c r="N14" s="315">
        <f>L14*L15+M14*M15</f>
        <v>0</v>
      </c>
      <c r="P14" s="86"/>
      <c r="Q14" s="137" t="s">
        <v>34</v>
      </c>
      <c r="R14" s="138">
        <v>7.0000000000000007E-2</v>
      </c>
    </row>
    <row r="15" spans="1:22" ht="22.5" customHeight="1">
      <c r="A15" s="312"/>
      <c r="B15" s="112" t="s">
        <v>11</v>
      </c>
      <c r="C15" s="113">
        <v>0</v>
      </c>
      <c r="D15" s="113">
        <v>0.18</v>
      </c>
      <c r="E15" s="113"/>
      <c r="F15" s="113">
        <v>3.6999999999999998E-2</v>
      </c>
      <c r="G15" s="113">
        <v>5.8000000000000003E-2</v>
      </c>
      <c r="H15" s="113"/>
      <c r="I15" s="316"/>
      <c r="J15" s="312"/>
      <c r="K15" s="112" t="s">
        <v>11</v>
      </c>
      <c r="L15" s="113">
        <v>0</v>
      </c>
      <c r="M15" s="113">
        <v>0.08</v>
      </c>
      <c r="N15" s="316"/>
      <c r="P15" s="86"/>
      <c r="Q15" s="137" t="s">
        <v>35</v>
      </c>
      <c r="R15" s="138">
        <v>0.1</v>
      </c>
    </row>
    <row r="16" spans="1:22" ht="22.5" customHeight="1">
      <c r="A16" s="313"/>
      <c r="B16" s="112" t="str">
        <f>入力!B17</f>
        <v>アップする</v>
      </c>
      <c r="C16" s="112">
        <f>入力!C17</f>
        <v>0</v>
      </c>
      <c r="D16" s="112">
        <f>入力!D17</f>
        <v>0</v>
      </c>
      <c r="E16" s="112"/>
      <c r="F16" s="112">
        <f>入力!F17</f>
        <v>1</v>
      </c>
      <c r="G16" s="112">
        <f>入力!G17</f>
        <v>1</v>
      </c>
      <c r="H16" s="112">
        <f>入力!H17</f>
        <v>1</v>
      </c>
      <c r="I16" s="112" t="str">
        <f>入力!I17</f>
        <v>-</v>
      </c>
      <c r="J16" s="313"/>
      <c r="K16" s="112" t="str">
        <f>入力!K17</f>
        <v>アップする</v>
      </c>
      <c r="L16" s="112">
        <f>入力!L17</f>
        <v>0</v>
      </c>
      <c r="M16" s="112">
        <f>入力!M17</f>
        <v>1</v>
      </c>
      <c r="N16" s="112" t="str">
        <f>入力!N17</f>
        <v>-</v>
      </c>
      <c r="P16" s="86"/>
      <c r="Q16" s="137"/>
      <c r="R16" s="138"/>
    </row>
    <row r="17" spans="1:18" ht="22.5" customHeight="1" thickBot="1">
      <c r="A17" s="314"/>
      <c r="B17" s="134" t="s">
        <v>33</v>
      </c>
      <c r="C17" s="118"/>
      <c r="D17" s="118">
        <f>15%*D16</f>
        <v>0</v>
      </c>
      <c r="E17" s="118"/>
      <c r="F17" s="118">
        <f>15%*F16</f>
        <v>0.15</v>
      </c>
      <c r="G17" s="118">
        <f>16%*G16</f>
        <v>0.16</v>
      </c>
      <c r="H17" s="118"/>
      <c r="I17" s="133">
        <f>C14*C17+D14*D17+E14*E17+F14*F17+G14*G17+H14*H17</f>
        <v>0.15</v>
      </c>
      <c r="J17" s="314"/>
      <c r="K17" s="124" t="s">
        <v>33</v>
      </c>
      <c r="L17" s="118"/>
      <c r="M17" s="118">
        <f>20%*M16</f>
        <v>0.2</v>
      </c>
      <c r="N17" s="131">
        <f>M14*M17</f>
        <v>0</v>
      </c>
      <c r="P17" s="86"/>
      <c r="Q17" s="137" t="s">
        <v>36</v>
      </c>
      <c r="R17" s="138">
        <v>0.3</v>
      </c>
    </row>
    <row r="18" spans="1:18" ht="42.75" customHeight="1" thickBot="1">
      <c r="A18" s="288" t="s">
        <v>16</v>
      </c>
      <c r="B18" s="106"/>
      <c r="C18" s="107" t="s">
        <v>12</v>
      </c>
      <c r="D18" s="107" t="s">
        <v>51</v>
      </c>
      <c r="E18" s="107"/>
      <c r="F18" s="107"/>
      <c r="G18" s="107" t="s">
        <v>17</v>
      </c>
      <c r="H18" s="107" t="s">
        <v>18</v>
      </c>
      <c r="I18" s="107" t="s">
        <v>19</v>
      </c>
      <c r="J18" s="107" t="s">
        <v>21</v>
      </c>
      <c r="K18" s="107" t="s">
        <v>53</v>
      </c>
      <c r="L18" s="107" t="s">
        <v>20</v>
      </c>
      <c r="M18" s="121" t="s">
        <v>11</v>
      </c>
      <c r="P18" s="86"/>
      <c r="Q18" s="137" t="s">
        <v>37</v>
      </c>
      <c r="R18" s="138">
        <v>0.35</v>
      </c>
    </row>
    <row r="19" spans="1:18" ht="22.5" customHeight="1" thickTop="1">
      <c r="A19" s="289"/>
      <c r="B19" s="122" t="s">
        <v>10</v>
      </c>
      <c r="C19" s="111">
        <f>入力!C20</f>
        <v>0</v>
      </c>
      <c r="D19" s="111">
        <f>入力!D20</f>
        <v>1</v>
      </c>
      <c r="E19" s="111">
        <f>入力!E20</f>
        <v>0</v>
      </c>
      <c r="F19" s="111">
        <f>入力!F20</f>
        <v>0</v>
      </c>
      <c r="G19" s="111">
        <f>入力!G20</f>
        <v>1</v>
      </c>
      <c r="H19" s="111">
        <f>入力!H20</f>
        <v>0</v>
      </c>
      <c r="I19" s="111">
        <f>入力!I20</f>
        <v>0</v>
      </c>
      <c r="J19" s="111">
        <f>入力!J20</f>
        <v>0</v>
      </c>
      <c r="K19" s="111">
        <f>入力!K20</f>
        <v>0</v>
      </c>
      <c r="L19" s="111">
        <f>入力!L20</f>
        <v>0</v>
      </c>
      <c r="M19" s="315">
        <f>C19*C20+D19*D20+E19*E20+F19*F20+I19*I20+J19*J20+K19*K20+L19*L20+G19*G20+H19*H20</f>
        <v>7.2000000000000008E-2</v>
      </c>
      <c r="P19" s="86"/>
      <c r="Q19" s="137" t="s">
        <v>29</v>
      </c>
      <c r="R19" s="138">
        <v>0</v>
      </c>
    </row>
    <row r="20" spans="1:18" ht="22.5" customHeight="1">
      <c r="A20" s="289"/>
      <c r="B20" s="112" t="s">
        <v>11</v>
      </c>
      <c r="C20" s="113">
        <v>0</v>
      </c>
      <c r="D20" s="113">
        <v>7.0000000000000007E-2</v>
      </c>
      <c r="E20" s="113">
        <v>7.0000000000000007E-2</v>
      </c>
      <c r="F20" s="125"/>
      <c r="G20" s="125">
        <v>2E-3</v>
      </c>
      <c r="H20" s="125">
        <v>3.0000000000000001E-3</v>
      </c>
      <c r="I20" s="113">
        <v>1.0999999999999999E-2</v>
      </c>
      <c r="J20" s="125">
        <v>4.2999999999999997E-2</v>
      </c>
      <c r="K20" s="126">
        <v>1.4999999999999999E-2</v>
      </c>
      <c r="L20" s="125">
        <v>4.7E-2</v>
      </c>
      <c r="M20" s="316"/>
      <c r="P20" s="127"/>
      <c r="Q20" s="137" t="s">
        <v>38</v>
      </c>
      <c r="R20" s="138">
        <f>(R14+R15+R17+R18+R19)*0.049</f>
        <v>4.018E-2</v>
      </c>
    </row>
    <row r="21" spans="1:18" ht="22.5" customHeight="1">
      <c r="A21" s="289"/>
      <c r="B21" s="112" t="str">
        <f>入力!B22</f>
        <v>アップする</v>
      </c>
      <c r="C21" s="112">
        <f>入力!C22</f>
        <v>0</v>
      </c>
      <c r="D21" s="112">
        <f>入力!D22</f>
        <v>0</v>
      </c>
      <c r="E21" s="112">
        <f>入力!E22</f>
        <v>1</v>
      </c>
      <c r="F21" s="112">
        <f>入力!F22</f>
        <v>1</v>
      </c>
      <c r="G21" s="112">
        <f>入力!G22</f>
        <v>1</v>
      </c>
      <c r="H21" s="112">
        <f>入力!H22</f>
        <v>1</v>
      </c>
      <c r="I21" s="112">
        <f>入力!I22</f>
        <v>1</v>
      </c>
      <c r="J21" s="112">
        <f>入力!J22</f>
        <v>1</v>
      </c>
      <c r="K21" s="112">
        <f>入力!K22</f>
        <v>1</v>
      </c>
      <c r="L21" s="112">
        <f>入力!L22</f>
        <v>1</v>
      </c>
      <c r="M21" s="112">
        <f>入力!M22</f>
        <v>0</v>
      </c>
      <c r="P21" s="127"/>
      <c r="Q21" s="137"/>
      <c r="R21" s="138"/>
    </row>
    <row r="22" spans="1:18" ht="22.5" customHeight="1" thickBot="1">
      <c r="A22" s="289"/>
      <c r="B22" s="124" t="s">
        <v>33</v>
      </c>
      <c r="C22" s="128"/>
      <c r="D22" s="128">
        <f>10%*D21</f>
        <v>0</v>
      </c>
      <c r="E22" s="128"/>
      <c r="F22" s="129"/>
      <c r="G22" s="129">
        <f>3%*G21</f>
        <v>0.03</v>
      </c>
      <c r="H22" s="129">
        <f>3%*H21</f>
        <v>0.03</v>
      </c>
      <c r="I22" s="129">
        <f>3%*I21</f>
        <v>0.03</v>
      </c>
      <c r="J22" s="129">
        <f>4%*J21</f>
        <v>0.04</v>
      </c>
      <c r="K22" s="129">
        <f>5%*K21</f>
        <v>0.05</v>
      </c>
      <c r="L22" s="129">
        <f>6%*L21</f>
        <v>0.06</v>
      </c>
      <c r="M22" s="133">
        <f>D19*D22+E19*E22+F19*F22+G19*G22+H19*H22+I19*I22+J19*J22+K19*K22+L19*L22</f>
        <v>0.03</v>
      </c>
      <c r="P22" s="86"/>
      <c r="Q22" s="137" t="s">
        <v>44</v>
      </c>
      <c r="R22" s="138">
        <v>0</v>
      </c>
    </row>
    <row r="23" spans="1:18" ht="42" customHeight="1" thickBot="1">
      <c r="A23" s="311" t="s">
        <v>24</v>
      </c>
      <c r="B23" s="106"/>
      <c r="C23" s="107" t="s">
        <v>12</v>
      </c>
      <c r="D23" s="107" t="s">
        <v>25</v>
      </c>
      <c r="E23" s="107" t="s">
        <v>26</v>
      </c>
      <c r="F23" s="107" t="s">
        <v>74</v>
      </c>
      <c r="G23" s="107" t="s">
        <v>27</v>
      </c>
      <c r="H23" s="107"/>
      <c r="I23" s="107" t="s">
        <v>32</v>
      </c>
      <c r="J23" s="121" t="s">
        <v>11</v>
      </c>
      <c r="K23" s="311" t="s">
        <v>29</v>
      </c>
      <c r="L23" s="106"/>
      <c r="M23" s="107" t="s">
        <v>12</v>
      </c>
      <c r="N23" s="107" t="s">
        <v>30</v>
      </c>
      <c r="O23" s="121" t="s">
        <v>11</v>
      </c>
      <c r="P23" s="86"/>
      <c r="Q23" s="137" t="s">
        <v>39</v>
      </c>
      <c r="R23" s="138">
        <v>0</v>
      </c>
    </row>
    <row r="24" spans="1:18" ht="22.5" customHeight="1" thickTop="1">
      <c r="A24" s="312"/>
      <c r="B24" s="122" t="s">
        <v>10</v>
      </c>
      <c r="C24" s="111">
        <f>入力!C25</f>
        <v>0</v>
      </c>
      <c r="D24" s="111">
        <f>入力!D25</f>
        <v>0</v>
      </c>
      <c r="E24" s="111">
        <f>入力!E25</f>
        <v>1</v>
      </c>
      <c r="F24" s="111">
        <f>入力!F25</f>
        <v>0</v>
      </c>
      <c r="G24" s="111">
        <f>入力!G25</f>
        <v>0</v>
      </c>
      <c r="H24" s="111">
        <f>入力!H25</f>
        <v>0</v>
      </c>
      <c r="I24" s="111">
        <f>入力!I25</f>
        <v>1</v>
      </c>
      <c r="J24" s="315">
        <f>C24*C25+D24*D25+E24*E25+F24*F25+I24*I25</f>
        <v>0.11</v>
      </c>
      <c r="K24" s="312"/>
      <c r="L24" s="122" t="s">
        <v>10</v>
      </c>
      <c r="M24" s="111">
        <f>入力!M25</f>
        <v>1</v>
      </c>
      <c r="N24" s="111">
        <f>入力!N25</f>
        <v>0</v>
      </c>
      <c r="O24" s="315">
        <f>M24*M25+N24*N25</f>
        <v>0</v>
      </c>
      <c r="P24" s="86"/>
      <c r="Q24" s="137" t="s">
        <v>40</v>
      </c>
      <c r="R24" s="138">
        <v>0</v>
      </c>
    </row>
    <row r="25" spans="1:18" ht="22.5" customHeight="1">
      <c r="A25" s="312"/>
      <c r="B25" s="112" t="s">
        <v>11</v>
      </c>
      <c r="C25" s="113">
        <v>0</v>
      </c>
      <c r="D25" s="113">
        <v>0.11</v>
      </c>
      <c r="E25" s="125"/>
      <c r="F25" s="113">
        <v>0.01</v>
      </c>
      <c r="G25" s="113">
        <v>0.01</v>
      </c>
      <c r="H25" s="126"/>
      <c r="I25" s="126">
        <v>0.11</v>
      </c>
      <c r="J25" s="316"/>
      <c r="K25" s="312"/>
      <c r="L25" s="112" t="s">
        <v>11</v>
      </c>
      <c r="M25" s="113">
        <v>0</v>
      </c>
      <c r="N25" s="113">
        <v>0.01</v>
      </c>
      <c r="O25" s="316"/>
      <c r="P25" s="86"/>
      <c r="Q25" s="137" t="s">
        <v>41</v>
      </c>
      <c r="R25" s="138">
        <f>(R14+R15+R17+R18+R19+R20+R22+R23+R24)*0.15</f>
        <v>0.12902699999999998</v>
      </c>
    </row>
    <row r="26" spans="1:18" ht="22.5" customHeight="1">
      <c r="A26" s="313"/>
      <c r="B26" s="112" t="str">
        <f>入力!B27</f>
        <v>アップする</v>
      </c>
      <c r="C26" s="112">
        <f>入力!C27</f>
        <v>0</v>
      </c>
      <c r="D26" s="112">
        <f>入力!D27</f>
        <v>0</v>
      </c>
      <c r="E26" s="112">
        <f>入力!E27</f>
        <v>1</v>
      </c>
      <c r="F26" s="112">
        <f>入力!F27</f>
        <v>1</v>
      </c>
      <c r="G26" s="112">
        <f>入力!G27</f>
        <v>1</v>
      </c>
      <c r="H26" s="112">
        <f>入力!H27</f>
        <v>1</v>
      </c>
      <c r="I26" s="112">
        <f>入力!I27</f>
        <v>1</v>
      </c>
      <c r="J26" s="112" t="str">
        <f>入力!J27</f>
        <v>-</v>
      </c>
      <c r="K26" s="313"/>
      <c r="L26" s="112" t="str">
        <f>入力!L27</f>
        <v>アップする</v>
      </c>
      <c r="M26" s="112">
        <f>入力!M27</f>
        <v>0</v>
      </c>
      <c r="N26" s="112">
        <f>入力!N27</f>
        <v>1</v>
      </c>
      <c r="O26" s="112" t="str">
        <f>入力!O27</f>
        <v>-</v>
      </c>
      <c r="P26" s="86"/>
      <c r="Q26" s="137"/>
      <c r="R26" s="138"/>
    </row>
    <row r="27" spans="1:18" ht="22.5" customHeight="1" thickBot="1">
      <c r="A27" s="314"/>
      <c r="B27" s="134" t="s">
        <v>33</v>
      </c>
      <c r="C27" s="118"/>
      <c r="D27" s="118">
        <f>30%*D26</f>
        <v>0</v>
      </c>
      <c r="E27" s="154"/>
      <c r="F27" s="118"/>
      <c r="G27" s="132"/>
      <c r="H27" s="132"/>
      <c r="I27" s="132">
        <f>20%*I26</f>
        <v>0.2</v>
      </c>
      <c r="J27" s="131">
        <f>D24*D27+E24*E27+F24*F27+G24*G27+H24*H27+I24*I27</f>
        <v>0.2</v>
      </c>
      <c r="K27" s="314"/>
      <c r="L27" s="134" t="s">
        <v>33</v>
      </c>
      <c r="M27" s="118"/>
      <c r="N27" s="118">
        <f>0.5%*N26</f>
        <v>5.0000000000000001E-3</v>
      </c>
      <c r="O27" s="131">
        <f>N24*N27</f>
        <v>0</v>
      </c>
      <c r="P27" s="86"/>
      <c r="Q27" s="137" t="s">
        <v>42</v>
      </c>
      <c r="R27" s="138" t="e">
        <f>老健!#REF!/老健!#REF!</f>
        <v>#REF!</v>
      </c>
    </row>
    <row r="28" spans="1:18" ht="41.25" customHeight="1">
      <c r="C28" s="85"/>
      <c r="D28" s="85"/>
      <c r="E28" s="85"/>
    </row>
    <row r="29" spans="1:18" ht="22.5" customHeight="1">
      <c r="C29" s="85"/>
      <c r="D29" s="85"/>
      <c r="E29" s="85"/>
    </row>
    <row r="30" spans="1:18" ht="22.5" customHeight="1">
      <c r="C30" s="85"/>
      <c r="D30" s="85"/>
      <c r="E30" s="85"/>
    </row>
    <row r="31" spans="1:18" ht="22.5" customHeight="1">
      <c r="C31" s="85"/>
      <c r="D31" s="85"/>
      <c r="E31" s="85"/>
    </row>
    <row r="32" spans="1:18" ht="22.5" customHeight="1">
      <c r="C32" s="85"/>
      <c r="D32" s="85"/>
      <c r="E32" s="85"/>
    </row>
    <row r="33" ht="42" customHeight="1"/>
    <row r="34" ht="22.5" customHeight="1"/>
    <row r="35" ht="22.5" customHeight="1"/>
    <row r="36" ht="22.5" customHeight="1"/>
    <row r="37" ht="22.5" customHeight="1"/>
  </sheetData>
  <mergeCells count="23">
    <mergeCell ref="A23:A27"/>
    <mergeCell ref="J24:J25"/>
    <mergeCell ref="K23:K27"/>
    <mergeCell ref="O24:O25"/>
    <mergeCell ref="A13:A17"/>
    <mergeCell ref="I14:I15"/>
    <mergeCell ref="A18:A22"/>
    <mergeCell ref="M19:M20"/>
    <mergeCell ref="J13:J17"/>
    <mergeCell ref="N14:N15"/>
    <mergeCell ref="A8:A12"/>
    <mergeCell ref="A1:P1"/>
    <mergeCell ref="B3:D3"/>
    <mergeCell ref="A4:B4"/>
    <mergeCell ref="E4:F4"/>
    <mergeCell ref="J4:K4"/>
    <mergeCell ref="L4:M4"/>
    <mergeCell ref="O4:P4"/>
    <mergeCell ref="B5:C5"/>
    <mergeCell ref="E5:F5"/>
    <mergeCell ref="J5:K5"/>
    <mergeCell ref="M5:N5"/>
    <mergeCell ref="P9:P10"/>
  </mergeCells>
  <phoneticPr fontId="2"/>
  <dataValidations count="1">
    <dataValidation type="list" allowBlank="1" showInputMessage="1" showErrorMessage="1" sqref="F3">
      <formula1>$R$2:$R$8</formula1>
    </dataValidation>
  </dataValidations>
  <pageMargins left="0.9055118110236221" right="0" top="0.74803149606299213" bottom="0.15748031496062992" header="0.31496062992125984" footer="0.31496062992125984"/>
  <pageSetup paperSize="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V37"/>
  <sheetViews>
    <sheetView zoomScale="70" zoomScaleNormal="70" workbookViewId="0">
      <selection activeCell="C12" sqref="C12"/>
    </sheetView>
  </sheetViews>
  <sheetFormatPr defaultRowHeight="13.5"/>
  <cols>
    <col min="1" max="2" width="12.25" style="85" customWidth="1"/>
    <col min="3" max="15" width="12.25" style="86" customWidth="1"/>
    <col min="16" max="16" width="12.25" style="85" customWidth="1"/>
    <col min="17" max="17" width="17.125" style="85" customWidth="1"/>
    <col min="18" max="18" width="12.125" style="85" bestFit="1" customWidth="1"/>
    <col min="19" max="16384" width="9" style="85"/>
  </cols>
  <sheetData>
    <row r="1" spans="1:22" ht="29.25" customHeight="1" thickBot="1">
      <c r="A1" s="319" t="s">
        <v>64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</row>
    <row r="2" spans="1:22" ht="14.25" thickBot="1">
      <c r="R2" s="85" t="s">
        <v>68</v>
      </c>
    </row>
    <row r="3" spans="1:22" ht="35.25" customHeight="1" thickBot="1">
      <c r="A3" s="87" t="s">
        <v>65</v>
      </c>
      <c r="B3" s="293" t="s">
        <v>66</v>
      </c>
      <c r="C3" s="293"/>
      <c r="D3" s="294"/>
      <c r="E3" s="87" t="s">
        <v>67</v>
      </c>
      <c r="F3" s="88" t="s">
        <v>77</v>
      </c>
      <c r="Q3" s="85">
        <v>1</v>
      </c>
      <c r="R3" s="85" t="s">
        <v>70</v>
      </c>
    </row>
    <row r="4" spans="1:22" ht="36.75" customHeight="1" thickBot="1">
      <c r="A4" s="295" t="s">
        <v>31</v>
      </c>
      <c r="B4" s="296"/>
      <c r="C4" s="89">
        <f>P9+I14+M19+N14+J24+O24</f>
        <v>0.379</v>
      </c>
      <c r="D4" s="90" t="s">
        <v>56</v>
      </c>
      <c r="E4" s="297">
        <v>500000000</v>
      </c>
      <c r="F4" s="298"/>
      <c r="G4" s="91" t="s">
        <v>55</v>
      </c>
      <c r="H4" s="92">
        <f>'Sheet2 (2)'!F16</f>
        <v>2.257996E-2</v>
      </c>
      <c r="I4" s="91" t="s">
        <v>48</v>
      </c>
      <c r="J4" s="299">
        <f>'Sheet2 (2)'!G16</f>
        <v>11289980</v>
      </c>
      <c r="K4" s="300"/>
      <c r="L4" s="288" t="s">
        <v>60</v>
      </c>
      <c r="M4" s="301"/>
      <c r="N4" s="93">
        <v>0.13</v>
      </c>
      <c r="O4" s="317">
        <f>N4*J5</f>
        <v>16616924.350000001</v>
      </c>
      <c r="P4" s="303"/>
      <c r="Q4" s="85">
        <v>2</v>
      </c>
      <c r="R4" s="85" t="s">
        <v>69</v>
      </c>
    </row>
    <row r="5" spans="1:22" ht="36.75" customHeight="1" thickBot="1">
      <c r="A5" s="94" t="s">
        <v>61</v>
      </c>
      <c r="B5" s="304">
        <f>M5-J4-O4</f>
        <v>57308092.31666667</v>
      </c>
      <c r="C5" s="305"/>
      <c r="D5" s="95" t="s">
        <v>57</v>
      </c>
      <c r="E5" s="306">
        <f>E4+J4</f>
        <v>511289980</v>
      </c>
      <c r="F5" s="307"/>
      <c r="G5" s="96" t="s">
        <v>58</v>
      </c>
      <c r="H5" s="97">
        <v>0.25</v>
      </c>
      <c r="I5" s="96" t="s">
        <v>62</v>
      </c>
      <c r="J5" s="308">
        <f>E5*H5</f>
        <v>127822495</v>
      </c>
      <c r="K5" s="307"/>
      <c r="L5" s="98" t="s">
        <v>59</v>
      </c>
      <c r="M5" s="306">
        <f>(J5/3)*2</f>
        <v>85214996.666666672</v>
      </c>
      <c r="N5" s="307"/>
      <c r="Q5" s="85">
        <v>3</v>
      </c>
      <c r="R5" s="135" t="s">
        <v>71</v>
      </c>
    </row>
    <row r="6" spans="1:22" ht="19.5" customHeight="1">
      <c r="A6" s="99" t="s">
        <v>63</v>
      </c>
      <c r="B6" s="100"/>
      <c r="C6" s="101"/>
      <c r="D6" s="102"/>
      <c r="E6" s="103"/>
      <c r="F6" s="103"/>
      <c r="G6" s="103"/>
      <c r="H6" s="104"/>
      <c r="I6" s="103"/>
      <c r="J6" s="105"/>
      <c r="K6" s="103"/>
      <c r="L6" s="102"/>
      <c r="M6" s="103"/>
      <c r="N6" s="103"/>
      <c r="R6" s="135"/>
      <c r="V6" s="136"/>
    </row>
    <row r="7" spans="1:22" ht="8.25" customHeight="1" thickBot="1"/>
    <row r="8" spans="1:22" ht="42.75" customHeight="1" thickBot="1">
      <c r="A8" s="288" t="s">
        <v>14</v>
      </c>
      <c r="B8" s="172"/>
      <c r="C8" s="173" t="s">
        <v>0</v>
      </c>
      <c r="D8" s="173" t="s">
        <v>1</v>
      </c>
      <c r="E8" s="173" t="s">
        <v>2</v>
      </c>
      <c r="F8" s="173" t="s">
        <v>3</v>
      </c>
      <c r="G8" s="173" t="s">
        <v>46</v>
      </c>
      <c r="H8" s="173" t="s">
        <v>47</v>
      </c>
      <c r="I8" s="173" t="s">
        <v>4</v>
      </c>
      <c r="J8" s="173" t="s">
        <v>5</v>
      </c>
      <c r="K8" s="173" t="s">
        <v>9</v>
      </c>
      <c r="L8" s="173" t="s">
        <v>8</v>
      </c>
      <c r="M8" s="173" t="s">
        <v>6</v>
      </c>
      <c r="N8" s="174" t="s">
        <v>7</v>
      </c>
      <c r="O8" s="173" t="s">
        <v>28</v>
      </c>
      <c r="P8" s="175" t="s">
        <v>11</v>
      </c>
    </row>
    <row r="9" spans="1:22" ht="22.5" customHeight="1" thickTop="1">
      <c r="A9" s="289"/>
      <c r="B9" s="176" t="s">
        <v>10</v>
      </c>
      <c r="C9" s="177">
        <f>入力!C10</f>
        <v>0</v>
      </c>
      <c r="D9" s="177">
        <f>入力!D10</f>
        <v>0</v>
      </c>
      <c r="E9" s="177">
        <f>入力!E10</f>
        <v>1</v>
      </c>
      <c r="F9" s="177">
        <f>入力!F10</f>
        <v>1</v>
      </c>
      <c r="G9" s="177">
        <f>入力!G10</f>
        <v>0</v>
      </c>
      <c r="H9" s="177">
        <f>入力!H10</f>
        <v>1</v>
      </c>
      <c r="I9" s="177">
        <f>入力!I10</f>
        <v>0</v>
      </c>
      <c r="J9" s="177">
        <f>入力!J10</f>
        <v>0</v>
      </c>
      <c r="K9" s="177">
        <f>入力!K10</f>
        <v>0</v>
      </c>
      <c r="L9" s="177">
        <f>入力!L10</f>
        <v>0</v>
      </c>
      <c r="M9" s="177">
        <f>入力!M10</f>
        <v>0</v>
      </c>
      <c r="N9" s="177">
        <f>入力!N10</f>
        <v>0</v>
      </c>
      <c r="O9" s="177">
        <f>入力!O10</f>
        <v>0</v>
      </c>
      <c r="P9" s="309">
        <f>C9*C10+D9*D10+E9*E10+F9*F10+I9*I10+J9*J10+K9*K10+L9*L10+M9*M10+N9*N10+O9*O10+G9*G10+H9*H10</f>
        <v>1.0000000000000002E-2</v>
      </c>
    </row>
    <row r="10" spans="1:22" ht="22.5" customHeight="1">
      <c r="A10" s="289"/>
      <c r="B10" s="178" t="s">
        <v>11</v>
      </c>
      <c r="C10" s="179">
        <v>4.0000000000000001E-3</v>
      </c>
      <c r="D10" s="179">
        <v>2.1000000000000001E-2</v>
      </c>
      <c r="E10" s="179">
        <v>8.0000000000000002E-3</v>
      </c>
      <c r="F10" s="179">
        <v>1E-3</v>
      </c>
      <c r="G10" s="179">
        <v>1E-3</v>
      </c>
      <c r="H10" s="179">
        <v>1E-3</v>
      </c>
      <c r="I10" s="179">
        <f>C10+D10</f>
        <v>2.5000000000000001E-2</v>
      </c>
      <c r="J10" s="179">
        <f>C10+E10</f>
        <v>1.2E-2</v>
      </c>
      <c r="K10" s="179">
        <f>D10+E10</f>
        <v>2.9000000000000001E-2</v>
      </c>
      <c r="L10" s="179">
        <f>C10+D10+E10</f>
        <v>3.3000000000000002E-2</v>
      </c>
      <c r="M10" s="179">
        <f>C10+E10+F10*0.5</f>
        <v>1.2500000000000001E-2</v>
      </c>
      <c r="N10" s="180">
        <f>C10+D10+E10+F10*0.5</f>
        <v>3.3500000000000002E-2</v>
      </c>
      <c r="O10" s="179">
        <f>C10+F10</f>
        <v>5.0000000000000001E-3</v>
      </c>
      <c r="P10" s="310"/>
    </row>
    <row r="11" spans="1:22" ht="22.5" customHeight="1">
      <c r="A11" s="289"/>
      <c r="B11" s="164" t="str">
        <f>入力!B12</f>
        <v>アップする</v>
      </c>
      <c r="C11" s="164">
        <f>入力!C12</f>
        <v>1</v>
      </c>
      <c r="D11" s="164">
        <f>入力!D12</f>
        <v>1</v>
      </c>
      <c r="E11" s="164">
        <f>入力!E12</f>
        <v>1</v>
      </c>
      <c r="F11" s="164">
        <f>入力!F12</f>
        <v>0</v>
      </c>
      <c r="G11" s="164">
        <f>入力!G12</f>
        <v>1</v>
      </c>
      <c r="H11" s="164">
        <f>入力!H12</f>
        <v>0</v>
      </c>
      <c r="I11" s="164">
        <f>入力!I12</f>
        <v>1</v>
      </c>
      <c r="J11" s="164">
        <f>入力!J12</f>
        <v>1</v>
      </c>
      <c r="K11" s="164">
        <f>入力!K12</f>
        <v>1</v>
      </c>
      <c r="L11" s="164">
        <f>入力!L12</f>
        <v>1</v>
      </c>
      <c r="M11" s="164">
        <f>入力!M12</f>
        <v>1</v>
      </c>
      <c r="N11" s="164">
        <f>入力!N12</f>
        <v>1</v>
      </c>
      <c r="O11" s="164">
        <f>入力!O12</f>
        <v>1</v>
      </c>
      <c r="P11" s="197" t="str">
        <f>入力!P12</f>
        <v>-</v>
      </c>
    </row>
    <row r="12" spans="1:22" ht="22.5" customHeight="1" thickBot="1">
      <c r="A12" s="318"/>
      <c r="B12" s="198" t="s">
        <v>33</v>
      </c>
      <c r="C12" s="199">
        <f>1.5%*C11</f>
        <v>1.4999999999999999E-2</v>
      </c>
      <c r="D12" s="199">
        <f>4.5%*D11</f>
        <v>4.4999999999999998E-2</v>
      </c>
      <c r="E12" s="199">
        <f>1%*E11</f>
        <v>0.01</v>
      </c>
      <c r="F12" s="199"/>
      <c r="G12" s="181">
        <f>0.5%*G11</f>
        <v>5.0000000000000001E-3</v>
      </c>
      <c r="H12" s="181">
        <f>0.5%*H11</f>
        <v>0</v>
      </c>
      <c r="I12" s="181">
        <f>7%*I11</f>
        <v>7.0000000000000007E-2</v>
      </c>
      <c r="J12" s="181">
        <f>3%*J11</f>
        <v>0.03</v>
      </c>
      <c r="K12" s="181">
        <f>6%*K11</f>
        <v>0.06</v>
      </c>
      <c r="L12" s="181">
        <f>8%*L11</f>
        <v>0.08</v>
      </c>
      <c r="M12" s="181">
        <f>3%*M11</f>
        <v>0.03</v>
      </c>
      <c r="N12" s="181">
        <f>8%*N11</f>
        <v>0.08</v>
      </c>
      <c r="O12" s="181">
        <f>2%*O11</f>
        <v>0.02</v>
      </c>
      <c r="P12" s="182">
        <f>C9*C12+D9*D12+E9*E12+F9*F12+G9*G12+H9*H12+I9*I12+J9*J12+K9*K12+L9*L12+M9*M12+N9*N12+O9*O12</f>
        <v>0.01</v>
      </c>
    </row>
    <row r="13" spans="1:22" ht="42.75" customHeight="1" thickBot="1">
      <c r="A13" s="311" t="s">
        <v>15</v>
      </c>
      <c r="B13" s="172"/>
      <c r="C13" s="173" t="s">
        <v>12</v>
      </c>
      <c r="D13" s="173" t="s">
        <v>49</v>
      </c>
      <c r="E13" s="183"/>
      <c r="F13" s="173" t="s">
        <v>13</v>
      </c>
      <c r="G13" s="173" t="s">
        <v>54</v>
      </c>
      <c r="H13" s="173" t="s">
        <v>81</v>
      </c>
      <c r="I13" s="184" t="s">
        <v>11</v>
      </c>
      <c r="J13" s="311" t="s">
        <v>23</v>
      </c>
      <c r="K13" s="172"/>
      <c r="L13" s="173" t="s">
        <v>12</v>
      </c>
      <c r="M13" s="173" t="s">
        <v>22</v>
      </c>
      <c r="N13" s="184" t="s">
        <v>11</v>
      </c>
      <c r="P13" s="86"/>
    </row>
    <row r="14" spans="1:22" ht="22.5" customHeight="1" thickTop="1">
      <c r="A14" s="312"/>
      <c r="B14" s="185" t="s">
        <v>10</v>
      </c>
      <c r="C14" s="177">
        <f>入力!C15</f>
        <v>0</v>
      </c>
      <c r="D14" s="177">
        <f>入力!D15</f>
        <v>1</v>
      </c>
      <c r="E14" s="177"/>
      <c r="F14" s="177">
        <f>入力!F15</f>
        <v>1</v>
      </c>
      <c r="G14" s="177">
        <f>入力!G15</f>
        <v>0</v>
      </c>
      <c r="H14" s="177">
        <f>入力!H15</f>
        <v>0</v>
      </c>
      <c r="I14" s="315">
        <f>C14*C15+D14*D15+E14*E15+F14*F15</f>
        <v>0.22700000000000001</v>
      </c>
      <c r="J14" s="312"/>
      <c r="K14" s="185" t="s">
        <v>10</v>
      </c>
      <c r="L14" s="177">
        <f>入力!L15</f>
        <v>1</v>
      </c>
      <c r="M14" s="177">
        <f>入力!M15</f>
        <v>0</v>
      </c>
      <c r="N14" s="315">
        <f>L14*L15+M14*M15</f>
        <v>0</v>
      </c>
      <c r="P14" s="86"/>
      <c r="Q14" s="137" t="s">
        <v>34</v>
      </c>
      <c r="R14" s="138">
        <v>7.0000000000000007E-2</v>
      </c>
    </row>
    <row r="15" spans="1:22" ht="22.5" customHeight="1">
      <c r="A15" s="312"/>
      <c r="B15" s="178" t="s">
        <v>11</v>
      </c>
      <c r="C15" s="179">
        <v>0</v>
      </c>
      <c r="D15" s="179">
        <v>0.19</v>
      </c>
      <c r="E15" s="179"/>
      <c r="F15" s="179">
        <v>3.6999999999999998E-2</v>
      </c>
      <c r="G15" s="179">
        <v>5.8000000000000003E-2</v>
      </c>
      <c r="H15" s="179"/>
      <c r="I15" s="316"/>
      <c r="J15" s="312"/>
      <c r="K15" s="178" t="s">
        <v>11</v>
      </c>
      <c r="L15" s="179">
        <v>0</v>
      </c>
      <c r="M15" s="179">
        <v>0.08</v>
      </c>
      <c r="N15" s="316"/>
      <c r="P15" s="86"/>
      <c r="Q15" s="137" t="s">
        <v>35</v>
      </c>
      <c r="R15" s="138">
        <v>0.1</v>
      </c>
    </row>
    <row r="16" spans="1:22" ht="22.5" customHeight="1">
      <c r="A16" s="313"/>
      <c r="B16" s="164" t="str">
        <f>入力!B17</f>
        <v>アップする</v>
      </c>
      <c r="C16" s="164">
        <f>入力!C17</f>
        <v>0</v>
      </c>
      <c r="D16" s="164">
        <f>入力!D17</f>
        <v>0</v>
      </c>
      <c r="E16" s="164">
        <f>入力!E17</f>
        <v>0</v>
      </c>
      <c r="F16" s="164">
        <f>入力!F17</f>
        <v>1</v>
      </c>
      <c r="G16" s="164">
        <f>入力!G17</f>
        <v>1</v>
      </c>
      <c r="H16" s="164">
        <f>入力!H17</f>
        <v>1</v>
      </c>
      <c r="I16" s="164" t="str">
        <f>入力!I17</f>
        <v>-</v>
      </c>
      <c r="J16" s="313"/>
      <c r="K16" s="164" t="str">
        <f>入力!K17</f>
        <v>アップする</v>
      </c>
      <c r="L16" s="164">
        <f>入力!L17</f>
        <v>0</v>
      </c>
      <c r="M16" s="164">
        <f>入力!M17</f>
        <v>1</v>
      </c>
      <c r="N16" s="197" t="str">
        <f>入力!N17</f>
        <v>-</v>
      </c>
      <c r="P16" s="86"/>
      <c r="Q16" s="137"/>
      <c r="R16" s="138"/>
    </row>
    <row r="17" spans="1:18" ht="22.5" customHeight="1" thickBot="1">
      <c r="A17" s="314"/>
      <c r="B17" s="192" t="s">
        <v>33</v>
      </c>
      <c r="C17" s="181"/>
      <c r="D17" s="181">
        <f>16%*D16</f>
        <v>0</v>
      </c>
      <c r="E17" s="181"/>
      <c r="F17" s="181">
        <f>15%*F16</f>
        <v>0.15</v>
      </c>
      <c r="G17" s="181">
        <f>16%*G16</f>
        <v>0.16</v>
      </c>
      <c r="H17" s="181"/>
      <c r="I17" s="191">
        <f>C14*C17+D14*D17+E14*E17+F14*F17+G14*G17+H14*H17</f>
        <v>0.15</v>
      </c>
      <c r="J17" s="314"/>
      <c r="K17" s="192" t="s">
        <v>33</v>
      </c>
      <c r="L17" s="181"/>
      <c r="M17" s="181">
        <f>20%*M16</f>
        <v>0.2</v>
      </c>
      <c r="N17" s="189">
        <f>M14*M17</f>
        <v>0</v>
      </c>
      <c r="P17" s="86"/>
      <c r="Q17" s="137" t="s">
        <v>36</v>
      </c>
      <c r="R17" s="138">
        <v>0.3</v>
      </c>
    </row>
    <row r="18" spans="1:18" ht="42.75" customHeight="1" thickBot="1">
      <c r="A18" s="288" t="s">
        <v>16</v>
      </c>
      <c r="B18" s="172"/>
      <c r="C18" s="173" t="s">
        <v>12</v>
      </c>
      <c r="D18" s="173" t="s">
        <v>51</v>
      </c>
      <c r="E18" s="173"/>
      <c r="F18" s="173"/>
      <c r="G18" s="173" t="s">
        <v>17</v>
      </c>
      <c r="H18" s="173" t="s">
        <v>18</v>
      </c>
      <c r="I18" s="173" t="s">
        <v>19</v>
      </c>
      <c r="J18" s="173" t="s">
        <v>21</v>
      </c>
      <c r="K18" s="173" t="s">
        <v>53</v>
      </c>
      <c r="L18" s="173" t="s">
        <v>20</v>
      </c>
      <c r="M18" s="184" t="s">
        <v>11</v>
      </c>
      <c r="P18" s="86"/>
      <c r="Q18" s="137" t="s">
        <v>37</v>
      </c>
      <c r="R18" s="138">
        <v>0.35</v>
      </c>
    </row>
    <row r="19" spans="1:18" ht="22.5" customHeight="1" thickTop="1">
      <c r="A19" s="289"/>
      <c r="B19" s="185" t="s">
        <v>10</v>
      </c>
      <c r="C19" s="177">
        <f>入力!C20</f>
        <v>0</v>
      </c>
      <c r="D19" s="177">
        <f>入力!D20</f>
        <v>1</v>
      </c>
      <c r="E19" s="177"/>
      <c r="F19" s="177">
        <f>入力!F20</f>
        <v>0</v>
      </c>
      <c r="G19" s="177">
        <f>入力!G20</f>
        <v>1</v>
      </c>
      <c r="H19" s="177">
        <f>入力!H20</f>
        <v>0</v>
      </c>
      <c r="I19" s="177">
        <f>入力!I20</f>
        <v>0</v>
      </c>
      <c r="J19" s="177">
        <f>入力!J20</f>
        <v>0</v>
      </c>
      <c r="K19" s="177">
        <f>入力!K20</f>
        <v>0</v>
      </c>
      <c r="L19" s="177">
        <f>入力!L20</f>
        <v>0</v>
      </c>
      <c r="M19" s="315">
        <f>C19*C20+D19*D20+E19*E20+F19*F20+I19*I20+J19*J20+K19*K20+L19*L20+G19*G20+H19*H20</f>
        <v>8.2000000000000003E-2</v>
      </c>
      <c r="P19" s="86"/>
      <c r="Q19" s="137" t="s">
        <v>29</v>
      </c>
      <c r="R19" s="138">
        <v>0</v>
      </c>
    </row>
    <row r="20" spans="1:18" ht="22.5" customHeight="1">
      <c r="A20" s="289"/>
      <c r="B20" s="178" t="s">
        <v>11</v>
      </c>
      <c r="C20" s="179">
        <v>0</v>
      </c>
      <c r="D20" s="179">
        <v>0.08</v>
      </c>
      <c r="E20" s="179"/>
      <c r="F20" s="186"/>
      <c r="G20" s="186">
        <v>2E-3</v>
      </c>
      <c r="H20" s="186">
        <v>3.0000000000000001E-3</v>
      </c>
      <c r="I20" s="179">
        <v>1.0999999999999999E-2</v>
      </c>
      <c r="J20" s="186">
        <v>4.2999999999999997E-2</v>
      </c>
      <c r="K20" s="187">
        <v>1.4999999999999999E-2</v>
      </c>
      <c r="L20" s="186">
        <v>4.7E-2</v>
      </c>
      <c r="M20" s="316"/>
      <c r="P20" s="127"/>
      <c r="Q20" s="137" t="s">
        <v>38</v>
      </c>
      <c r="R20" s="138">
        <f>(R14+R15+R17+R18+R19)*0.049</f>
        <v>4.018E-2</v>
      </c>
    </row>
    <row r="21" spans="1:18" ht="22.5" customHeight="1">
      <c r="A21" s="289"/>
      <c r="B21" s="164" t="str">
        <f>入力!B22</f>
        <v>アップする</v>
      </c>
      <c r="C21" s="164">
        <f>入力!C22</f>
        <v>0</v>
      </c>
      <c r="D21" s="164">
        <f>入力!D22</f>
        <v>0</v>
      </c>
      <c r="E21" s="164">
        <f>入力!E22</f>
        <v>1</v>
      </c>
      <c r="F21" s="164">
        <f>入力!F22</f>
        <v>1</v>
      </c>
      <c r="G21" s="164">
        <f>入力!G22</f>
        <v>1</v>
      </c>
      <c r="H21" s="164">
        <f>入力!H22</f>
        <v>1</v>
      </c>
      <c r="I21" s="164">
        <f>入力!I22</f>
        <v>1</v>
      </c>
      <c r="J21" s="164">
        <f>入力!J22</f>
        <v>1</v>
      </c>
      <c r="K21" s="164">
        <f>入力!K22</f>
        <v>1</v>
      </c>
      <c r="L21" s="164">
        <f>入力!L22</f>
        <v>1</v>
      </c>
      <c r="M21" s="197">
        <f>入力!M22</f>
        <v>0</v>
      </c>
      <c r="P21" s="127"/>
      <c r="Q21" s="137"/>
      <c r="R21" s="138"/>
    </row>
    <row r="22" spans="1:18" ht="22.5" customHeight="1" thickBot="1">
      <c r="A22" s="318"/>
      <c r="B22" s="192" t="s">
        <v>33</v>
      </c>
      <c r="C22" s="188"/>
      <c r="D22" s="188">
        <f>11%*D21</f>
        <v>0</v>
      </c>
      <c r="E22" s="188"/>
      <c r="F22" s="188"/>
      <c r="G22" s="188">
        <f>3%*G21</f>
        <v>0.03</v>
      </c>
      <c r="H22" s="188">
        <f t="shared" ref="H22:I22" si="0">3%*H21</f>
        <v>0.03</v>
      </c>
      <c r="I22" s="188">
        <f t="shared" si="0"/>
        <v>0.03</v>
      </c>
      <c r="J22" s="188">
        <f>4%*J21</f>
        <v>0.04</v>
      </c>
      <c r="K22" s="188">
        <f>5%*K21</f>
        <v>0.05</v>
      </c>
      <c r="L22" s="188">
        <f>6%*L21</f>
        <v>0.06</v>
      </c>
      <c r="M22" s="191">
        <f>D19*D22+E19*E22+F19*F22+G19*G22+H19*H22+I19*I22+J19*J22+K19*K22+L19*L22</f>
        <v>0.03</v>
      </c>
      <c r="P22" s="86"/>
      <c r="Q22" s="137" t="s">
        <v>44</v>
      </c>
      <c r="R22" s="138">
        <v>0</v>
      </c>
    </row>
    <row r="23" spans="1:18" ht="42" customHeight="1" thickBot="1">
      <c r="A23" s="311" t="s">
        <v>24</v>
      </c>
      <c r="B23" s="172"/>
      <c r="C23" s="173" t="s">
        <v>12</v>
      </c>
      <c r="D23" s="173" t="s">
        <v>25</v>
      </c>
      <c r="E23" s="173" t="s">
        <v>26</v>
      </c>
      <c r="F23" s="173" t="s">
        <v>74</v>
      </c>
      <c r="G23" s="173" t="s">
        <v>27</v>
      </c>
      <c r="H23" s="173"/>
      <c r="I23" s="173" t="s">
        <v>32</v>
      </c>
      <c r="J23" s="184" t="s">
        <v>11</v>
      </c>
      <c r="K23" s="311" t="s">
        <v>29</v>
      </c>
      <c r="L23" s="172"/>
      <c r="M23" s="173" t="s">
        <v>12</v>
      </c>
      <c r="N23" s="173" t="s">
        <v>30</v>
      </c>
      <c r="O23" s="184" t="s">
        <v>11</v>
      </c>
      <c r="P23" s="86"/>
      <c r="Q23" s="137" t="s">
        <v>39</v>
      </c>
      <c r="R23" s="138">
        <v>0</v>
      </c>
    </row>
    <row r="24" spans="1:18" ht="22.5" customHeight="1" thickTop="1">
      <c r="A24" s="312"/>
      <c r="B24" s="185" t="s">
        <v>10</v>
      </c>
      <c r="C24" s="177">
        <f>入力!C25</f>
        <v>0</v>
      </c>
      <c r="D24" s="177">
        <f>入力!D25</f>
        <v>0</v>
      </c>
      <c r="E24" s="177">
        <f>入力!E25</f>
        <v>1</v>
      </c>
      <c r="F24" s="177">
        <f>入力!F25</f>
        <v>0</v>
      </c>
      <c r="G24" s="177">
        <f>入力!G25</f>
        <v>0</v>
      </c>
      <c r="H24" s="177">
        <f>入力!H25</f>
        <v>0</v>
      </c>
      <c r="I24" s="177">
        <f>入力!I25</f>
        <v>1</v>
      </c>
      <c r="J24" s="315">
        <f>C24*C25+D24*D25+E24*E25+F24*F25+I24*I25</f>
        <v>0.06</v>
      </c>
      <c r="K24" s="312"/>
      <c r="L24" s="185" t="s">
        <v>10</v>
      </c>
      <c r="M24" s="177">
        <f>入力!M25</f>
        <v>1</v>
      </c>
      <c r="N24" s="177">
        <f>入力!N25</f>
        <v>0</v>
      </c>
      <c r="O24" s="315">
        <f>M24*M25+N24*N25</f>
        <v>0</v>
      </c>
      <c r="P24" s="86"/>
      <c r="Q24" s="137" t="s">
        <v>40</v>
      </c>
      <c r="R24" s="138">
        <v>0</v>
      </c>
    </row>
    <row r="25" spans="1:18" ht="22.5" customHeight="1">
      <c r="A25" s="312"/>
      <c r="B25" s="178" t="s">
        <v>11</v>
      </c>
      <c r="C25" s="179">
        <v>0</v>
      </c>
      <c r="D25" s="179">
        <v>0.09</v>
      </c>
      <c r="E25" s="186"/>
      <c r="F25" s="179">
        <v>0.01</v>
      </c>
      <c r="G25" s="179">
        <v>0.01</v>
      </c>
      <c r="H25" s="187"/>
      <c r="I25" s="187">
        <v>0.06</v>
      </c>
      <c r="J25" s="316"/>
      <c r="K25" s="312"/>
      <c r="L25" s="178" t="s">
        <v>11</v>
      </c>
      <c r="M25" s="179">
        <v>0</v>
      </c>
      <c r="N25" s="179">
        <v>0.01</v>
      </c>
      <c r="O25" s="316"/>
      <c r="P25" s="86"/>
      <c r="Q25" s="137" t="s">
        <v>41</v>
      </c>
      <c r="R25" s="138">
        <f>(R14+R15+R17+R18+R19+R20+R22+R23+R24)*0.15</f>
        <v>0.12902699999999998</v>
      </c>
    </row>
    <row r="26" spans="1:18" ht="22.5" customHeight="1">
      <c r="A26" s="313"/>
      <c r="B26" s="164" t="str">
        <f>入力!B27</f>
        <v>アップする</v>
      </c>
      <c r="C26" s="164">
        <f>入力!C27</f>
        <v>0</v>
      </c>
      <c r="D26" s="164">
        <f>入力!D27</f>
        <v>0</v>
      </c>
      <c r="E26" s="164">
        <f>入力!E27</f>
        <v>1</v>
      </c>
      <c r="F26" s="164">
        <f>入力!F27</f>
        <v>1</v>
      </c>
      <c r="G26" s="164">
        <f>入力!G27</f>
        <v>1</v>
      </c>
      <c r="H26" s="164">
        <f>入力!H27</f>
        <v>1</v>
      </c>
      <c r="I26" s="164">
        <f>入力!I27</f>
        <v>1</v>
      </c>
      <c r="J26" s="164" t="str">
        <f>入力!J27</f>
        <v>-</v>
      </c>
      <c r="K26" s="313"/>
      <c r="L26" s="164" t="str">
        <f>入力!L27</f>
        <v>アップする</v>
      </c>
      <c r="M26" s="164">
        <f>入力!M27</f>
        <v>0</v>
      </c>
      <c r="N26" s="164">
        <f>入力!N27</f>
        <v>1</v>
      </c>
      <c r="O26" s="197" t="str">
        <f>入力!O27</f>
        <v>-</v>
      </c>
      <c r="P26" s="86"/>
      <c r="Q26" s="137"/>
      <c r="R26" s="138"/>
    </row>
    <row r="27" spans="1:18" ht="22.5" customHeight="1" thickBot="1">
      <c r="A27" s="314"/>
      <c r="B27" s="192" t="s">
        <v>33</v>
      </c>
      <c r="C27" s="181"/>
      <c r="D27" s="181">
        <f>25%*D26</f>
        <v>0</v>
      </c>
      <c r="E27" s="195"/>
      <c r="F27" s="181"/>
      <c r="G27" s="190"/>
      <c r="H27" s="190"/>
      <c r="I27" s="190">
        <f>15%*I26</f>
        <v>0.15</v>
      </c>
      <c r="J27" s="189">
        <f>D24*D27+E24*E27+F24*F27+G24*G27+H24*H27+I24*I27</f>
        <v>0.15</v>
      </c>
      <c r="K27" s="314"/>
      <c r="L27" s="192" t="s">
        <v>33</v>
      </c>
      <c r="M27" s="181"/>
      <c r="N27" s="181">
        <f>0.5%*N26</f>
        <v>5.0000000000000001E-3</v>
      </c>
      <c r="O27" s="189">
        <f>N24*N27</f>
        <v>0</v>
      </c>
      <c r="P27" s="86"/>
      <c r="Q27" s="137" t="s">
        <v>42</v>
      </c>
      <c r="R27" s="138" t="e">
        <f>スポーツクラブ!#REF!/スポーツクラブ!#REF!</f>
        <v>#REF!</v>
      </c>
    </row>
    <row r="28" spans="1:18" ht="41.25" customHeight="1">
      <c r="C28" s="85"/>
      <c r="D28" s="85"/>
      <c r="E28" s="85"/>
    </row>
    <row r="29" spans="1:18" ht="22.5" customHeight="1">
      <c r="C29" s="85"/>
      <c r="D29" s="85"/>
      <c r="E29" s="85"/>
    </row>
    <row r="30" spans="1:18" ht="22.5" customHeight="1">
      <c r="C30" s="85"/>
      <c r="D30" s="85"/>
      <c r="E30" s="85"/>
    </row>
    <row r="31" spans="1:18" ht="22.5" customHeight="1">
      <c r="C31" s="85"/>
      <c r="D31" s="85"/>
      <c r="E31" s="85"/>
    </row>
    <row r="32" spans="1:18" ht="22.5" customHeight="1">
      <c r="C32" s="85"/>
      <c r="D32" s="85"/>
      <c r="E32" s="85"/>
    </row>
    <row r="33" ht="42" customHeight="1"/>
    <row r="34" ht="22.5" customHeight="1"/>
    <row r="35" ht="22.5" customHeight="1"/>
    <row r="36" ht="22.5" customHeight="1"/>
    <row r="37" ht="22.5" customHeight="1"/>
  </sheetData>
  <mergeCells count="23">
    <mergeCell ref="P9:P10"/>
    <mergeCell ref="A1:P1"/>
    <mergeCell ref="B3:D3"/>
    <mergeCell ref="A4:B4"/>
    <mergeCell ref="E4:F4"/>
    <mergeCell ref="J4:K4"/>
    <mergeCell ref="L4:M4"/>
    <mergeCell ref="O4:P4"/>
    <mergeCell ref="B5:C5"/>
    <mergeCell ref="E5:F5"/>
    <mergeCell ref="J5:K5"/>
    <mergeCell ref="M5:N5"/>
    <mergeCell ref="A8:A12"/>
    <mergeCell ref="A23:A27"/>
    <mergeCell ref="J24:J25"/>
    <mergeCell ref="K23:K27"/>
    <mergeCell ref="O24:O25"/>
    <mergeCell ref="A13:A17"/>
    <mergeCell ref="I14:I15"/>
    <mergeCell ref="A18:A22"/>
    <mergeCell ref="M19:M20"/>
    <mergeCell ref="J13:J17"/>
    <mergeCell ref="N14:N15"/>
  </mergeCells>
  <phoneticPr fontId="2"/>
  <dataValidations count="1">
    <dataValidation type="list" allowBlank="1" showInputMessage="1" showErrorMessage="1" sqref="F3">
      <formula1>$R$2:$R$8</formula1>
    </dataValidation>
  </dataValidations>
  <pageMargins left="0.9055118110236221" right="0" top="0.74803149606299213" bottom="0.15748031496062992" header="0.31496062992125984" footer="0.31496062992125984"/>
  <pageSetup paperSize="8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V37"/>
  <sheetViews>
    <sheetView zoomScale="70" zoomScaleNormal="70" workbookViewId="0">
      <selection activeCell="I29" sqref="I29"/>
    </sheetView>
  </sheetViews>
  <sheetFormatPr defaultRowHeight="13.5"/>
  <cols>
    <col min="1" max="2" width="12.25" style="85" customWidth="1"/>
    <col min="3" max="15" width="12.25" style="86" customWidth="1"/>
    <col min="16" max="16" width="12.25" style="85" customWidth="1"/>
    <col min="17" max="17" width="18" style="85" customWidth="1"/>
    <col min="18" max="18" width="17" style="85" customWidth="1"/>
    <col min="19" max="16384" width="9" style="85"/>
  </cols>
  <sheetData>
    <row r="1" spans="1:22" ht="29.25" customHeight="1">
      <c r="A1" s="290" t="s">
        <v>64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2"/>
    </row>
    <row r="2" spans="1:22" ht="14.25" thickBot="1">
      <c r="R2" s="85" t="s">
        <v>68</v>
      </c>
    </row>
    <row r="3" spans="1:22" ht="35.25" customHeight="1" thickBot="1">
      <c r="A3" s="87" t="s">
        <v>65</v>
      </c>
      <c r="B3" s="293" t="s">
        <v>66</v>
      </c>
      <c r="C3" s="293"/>
      <c r="D3" s="294"/>
      <c r="E3" s="87" t="s">
        <v>67</v>
      </c>
      <c r="F3" s="88" t="s">
        <v>90</v>
      </c>
      <c r="Q3" s="85">
        <v>1</v>
      </c>
      <c r="R3" s="85" t="s">
        <v>70</v>
      </c>
    </row>
    <row r="4" spans="1:22" ht="36.75" customHeight="1" thickBot="1">
      <c r="A4" s="295" t="s">
        <v>31</v>
      </c>
      <c r="B4" s="296"/>
      <c r="C4" s="89">
        <f>P9+I14+M19+N14+J24+O24</f>
        <v>0.47299999999999998</v>
      </c>
      <c r="D4" s="163" t="s">
        <v>56</v>
      </c>
      <c r="E4" s="297">
        <v>500000000</v>
      </c>
      <c r="F4" s="298"/>
      <c r="G4" s="91" t="s">
        <v>55</v>
      </c>
      <c r="H4" s="92">
        <f>'Sheet2 (2)'!F16</f>
        <v>2.257996E-2</v>
      </c>
      <c r="I4" s="91" t="s">
        <v>48</v>
      </c>
      <c r="J4" s="299">
        <f>'Sheet2 (2)'!G16</f>
        <v>11289980</v>
      </c>
      <c r="K4" s="300"/>
      <c r="L4" s="288" t="s">
        <v>60</v>
      </c>
      <c r="M4" s="301"/>
      <c r="N4" s="93">
        <v>0.13</v>
      </c>
      <c r="O4" s="317">
        <f>N4*J5</f>
        <v>16616924.350000001</v>
      </c>
      <c r="P4" s="303"/>
      <c r="Q4" s="85">
        <v>2</v>
      </c>
      <c r="R4" s="85" t="s">
        <v>69</v>
      </c>
    </row>
    <row r="5" spans="1:22" ht="36.75" customHeight="1" thickBot="1">
      <c r="A5" s="94" t="s">
        <v>61</v>
      </c>
      <c r="B5" s="304">
        <f>M5-J4-O4</f>
        <v>57308092.31666667</v>
      </c>
      <c r="C5" s="305"/>
      <c r="D5" s="95" t="s">
        <v>57</v>
      </c>
      <c r="E5" s="306">
        <f>E4+J4</f>
        <v>511289980</v>
      </c>
      <c r="F5" s="307"/>
      <c r="G5" s="96" t="s">
        <v>58</v>
      </c>
      <c r="H5" s="97">
        <v>0.25</v>
      </c>
      <c r="I5" s="96" t="s">
        <v>62</v>
      </c>
      <c r="J5" s="308">
        <f>E5*H5</f>
        <v>127822495</v>
      </c>
      <c r="K5" s="307"/>
      <c r="L5" s="98" t="s">
        <v>59</v>
      </c>
      <c r="M5" s="306">
        <f>(J5/3)*2</f>
        <v>85214996.666666672</v>
      </c>
      <c r="N5" s="307"/>
      <c r="Q5" s="85">
        <v>3</v>
      </c>
      <c r="R5" s="135" t="s">
        <v>71</v>
      </c>
    </row>
    <row r="6" spans="1:22" ht="19.5" customHeight="1">
      <c r="A6" s="99" t="s">
        <v>63</v>
      </c>
      <c r="B6" s="100"/>
      <c r="C6" s="101"/>
      <c r="D6" s="102"/>
      <c r="E6" s="103"/>
      <c r="F6" s="103"/>
      <c r="G6" s="103"/>
      <c r="H6" s="104"/>
      <c r="I6" s="103"/>
      <c r="J6" s="105"/>
      <c r="K6" s="103"/>
      <c r="L6" s="102"/>
      <c r="M6" s="103"/>
      <c r="N6" s="103"/>
      <c r="R6" s="135" t="s">
        <v>90</v>
      </c>
      <c r="V6" s="136"/>
    </row>
    <row r="7" spans="1:22" ht="8.25" customHeight="1" thickBot="1"/>
    <row r="8" spans="1:22" ht="42.75" customHeight="1" thickBot="1">
      <c r="A8" s="288" t="s">
        <v>14</v>
      </c>
      <c r="B8" s="172"/>
      <c r="C8" s="173" t="s">
        <v>0</v>
      </c>
      <c r="D8" s="173" t="s">
        <v>1</v>
      </c>
      <c r="E8" s="173" t="s">
        <v>2</v>
      </c>
      <c r="F8" s="173" t="s">
        <v>3</v>
      </c>
      <c r="G8" s="173" t="s">
        <v>46</v>
      </c>
      <c r="H8" s="173" t="s">
        <v>47</v>
      </c>
      <c r="I8" s="173" t="s">
        <v>4</v>
      </c>
      <c r="J8" s="173" t="s">
        <v>5</v>
      </c>
      <c r="K8" s="173" t="s">
        <v>9</v>
      </c>
      <c r="L8" s="173" t="s">
        <v>8</v>
      </c>
      <c r="M8" s="173" t="s">
        <v>6</v>
      </c>
      <c r="N8" s="174" t="s">
        <v>7</v>
      </c>
      <c r="O8" s="173" t="s">
        <v>28</v>
      </c>
      <c r="P8" s="175" t="s">
        <v>11</v>
      </c>
    </row>
    <row r="9" spans="1:22" ht="22.5" customHeight="1" thickTop="1">
      <c r="A9" s="289"/>
      <c r="B9" s="176" t="s">
        <v>10</v>
      </c>
      <c r="C9" s="177">
        <f>入力!C10</f>
        <v>0</v>
      </c>
      <c r="D9" s="177">
        <f>入力!D10</f>
        <v>0</v>
      </c>
      <c r="E9" s="177">
        <f>入力!E10</f>
        <v>1</v>
      </c>
      <c r="F9" s="177">
        <f>入力!F10</f>
        <v>1</v>
      </c>
      <c r="G9" s="177">
        <f>入力!G10</f>
        <v>0</v>
      </c>
      <c r="H9" s="177">
        <f>入力!H10</f>
        <v>1</v>
      </c>
      <c r="I9" s="177">
        <f>入力!I10</f>
        <v>0</v>
      </c>
      <c r="J9" s="177">
        <f>入力!J10</f>
        <v>0</v>
      </c>
      <c r="K9" s="177">
        <f>入力!K10</f>
        <v>0</v>
      </c>
      <c r="L9" s="177">
        <f>入力!L10</f>
        <v>0</v>
      </c>
      <c r="M9" s="177">
        <f>入力!M10</f>
        <v>0</v>
      </c>
      <c r="N9" s="177">
        <f>入力!N10</f>
        <v>0</v>
      </c>
      <c r="O9" s="177">
        <f>入力!O10</f>
        <v>0</v>
      </c>
      <c r="P9" s="309">
        <f>C9*C10+D9*D10+E9*E10+F9*F10+I9*I10+J9*J10+K9*K10+L9*L10+M9*M10+N9*N10+O9*O10+G9*G10+H9*H10</f>
        <v>3.3999999999999996E-2</v>
      </c>
    </row>
    <row r="10" spans="1:22" ht="22.5" customHeight="1">
      <c r="A10" s="289"/>
      <c r="B10" s="178" t="s">
        <v>11</v>
      </c>
      <c r="C10" s="179">
        <v>6.0000000000000001E-3</v>
      </c>
      <c r="D10" s="179">
        <v>6.0999999999999999E-2</v>
      </c>
      <c r="E10" s="179">
        <v>2.1999999999999999E-2</v>
      </c>
      <c r="F10" s="179">
        <v>6.0000000000000001E-3</v>
      </c>
      <c r="G10" s="179">
        <v>6.0000000000000001E-3</v>
      </c>
      <c r="H10" s="179">
        <v>6.0000000000000001E-3</v>
      </c>
      <c r="I10" s="179">
        <v>6.7000000000000004E-2</v>
      </c>
      <c r="J10" s="179">
        <v>2.7999999999999997E-2</v>
      </c>
      <c r="K10" s="179">
        <v>8.299999999999999E-2</v>
      </c>
      <c r="L10" s="179">
        <v>8.8999999999999996E-2</v>
      </c>
      <c r="M10" s="179">
        <v>3.0999999999999996E-2</v>
      </c>
      <c r="N10" s="180">
        <v>9.1999999999999998E-2</v>
      </c>
      <c r="O10" s="179">
        <v>1.2E-2</v>
      </c>
      <c r="P10" s="310"/>
    </row>
    <row r="11" spans="1:22" ht="22.5" customHeight="1">
      <c r="A11" s="289"/>
      <c r="B11" s="178" t="str">
        <f>入力!B12</f>
        <v>アップする</v>
      </c>
      <c r="C11" s="164">
        <f>入力!C12</f>
        <v>1</v>
      </c>
      <c r="D11" s="164">
        <f>入力!D12</f>
        <v>1</v>
      </c>
      <c r="E11" s="164">
        <f>入力!E12</f>
        <v>1</v>
      </c>
      <c r="F11" s="164">
        <f>入力!F12</f>
        <v>0</v>
      </c>
      <c r="G11" s="164">
        <f>入力!G12</f>
        <v>1</v>
      </c>
      <c r="H11" s="164">
        <f>入力!H12</f>
        <v>0</v>
      </c>
      <c r="I11" s="164">
        <f>入力!I12</f>
        <v>1</v>
      </c>
      <c r="J11" s="164">
        <f>入力!J12</f>
        <v>1</v>
      </c>
      <c r="K11" s="164">
        <f>入力!K12</f>
        <v>1</v>
      </c>
      <c r="L11" s="164">
        <f>入力!L12</f>
        <v>1</v>
      </c>
      <c r="M11" s="164">
        <f>入力!M12</f>
        <v>1</v>
      </c>
      <c r="N11" s="164">
        <f>入力!N12</f>
        <v>1</v>
      </c>
      <c r="O11" s="164">
        <f>入力!O12</f>
        <v>1</v>
      </c>
      <c r="P11" s="200" t="str">
        <f>入力!P12</f>
        <v>-</v>
      </c>
    </row>
    <row r="12" spans="1:22" ht="22.5" customHeight="1" thickBot="1">
      <c r="A12" s="318"/>
      <c r="B12" s="198" t="s">
        <v>33</v>
      </c>
      <c r="C12" s="199">
        <f>2%*C11</f>
        <v>0.02</v>
      </c>
      <c r="D12" s="199">
        <f>5%*D11</f>
        <v>0.05</v>
      </c>
      <c r="E12" s="199">
        <f>1%*E11</f>
        <v>0.01</v>
      </c>
      <c r="F12" s="199">
        <v>0</v>
      </c>
      <c r="G12" s="199">
        <f>0.5%*G11</f>
        <v>5.0000000000000001E-3</v>
      </c>
      <c r="H12" s="199">
        <v>0</v>
      </c>
      <c r="I12" s="199">
        <f>7%*I11</f>
        <v>7.0000000000000007E-2</v>
      </c>
      <c r="J12" s="181">
        <f>3%*J11</f>
        <v>0.03</v>
      </c>
      <c r="K12" s="181">
        <f>6%*K11</f>
        <v>0.06</v>
      </c>
      <c r="L12" s="181">
        <f>8%*L11</f>
        <v>0.08</v>
      </c>
      <c r="M12" s="181">
        <f>3%*M11</f>
        <v>0.03</v>
      </c>
      <c r="N12" s="181">
        <f>8%*N11</f>
        <v>0.08</v>
      </c>
      <c r="O12" s="181">
        <f>2%*O11</f>
        <v>0.02</v>
      </c>
      <c r="P12" s="182">
        <f>C9*C12+D9*D12+E9*E12+F9*F12+G9*G12+H9*H12+I9*I12+J9*J12+K9*K12+L9*L12+M9*M12+N9*N12+O9*O12</f>
        <v>0.01</v>
      </c>
    </row>
    <row r="13" spans="1:22" ht="42.75" customHeight="1" thickBot="1">
      <c r="A13" s="311" t="s">
        <v>15</v>
      </c>
      <c r="B13" s="106"/>
      <c r="C13" s="107" t="s">
        <v>12</v>
      </c>
      <c r="D13" s="107" t="s">
        <v>49</v>
      </c>
      <c r="E13" s="120"/>
      <c r="F13" s="107" t="s">
        <v>13</v>
      </c>
      <c r="G13" s="107" t="s">
        <v>54</v>
      </c>
      <c r="H13" s="107" t="s">
        <v>81</v>
      </c>
      <c r="I13" s="121" t="s">
        <v>11</v>
      </c>
      <c r="J13" s="311" t="s">
        <v>23</v>
      </c>
      <c r="K13" s="172"/>
      <c r="L13" s="173" t="s">
        <v>12</v>
      </c>
      <c r="M13" s="173" t="s">
        <v>22</v>
      </c>
      <c r="N13" s="184" t="s">
        <v>11</v>
      </c>
      <c r="P13" s="86"/>
    </row>
    <row r="14" spans="1:22" ht="22.5" customHeight="1" thickTop="1">
      <c r="A14" s="312"/>
      <c r="B14" s="122" t="s">
        <v>10</v>
      </c>
      <c r="C14" s="111">
        <f>入力!C15</f>
        <v>0</v>
      </c>
      <c r="D14" s="111">
        <f>入力!D15</f>
        <v>1</v>
      </c>
      <c r="E14" s="111"/>
      <c r="F14" s="111">
        <f>入力!F15</f>
        <v>1</v>
      </c>
      <c r="G14" s="111">
        <f>入力!G15</f>
        <v>0</v>
      </c>
      <c r="H14" s="111">
        <f>入力!H15</f>
        <v>0</v>
      </c>
      <c r="I14" s="315">
        <f>C14*C15+D14*D15+E14*E15+F14*F15+G14*G15+H14*H15</f>
        <v>0.25700000000000001</v>
      </c>
      <c r="J14" s="312"/>
      <c r="K14" s="185" t="s">
        <v>10</v>
      </c>
      <c r="L14" s="177">
        <f>入力!L15</f>
        <v>1</v>
      </c>
      <c r="M14" s="177">
        <f>入力!M15</f>
        <v>0</v>
      </c>
      <c r="N14" s="315">
        <f>L14*L15+M14*M15</f>
        <v>0</v>
      </c>
      <c r="P14" s="86"/>
      <c r="Q14" s="137" t="s">
        <v>34</v>
      </c>
      <c r="R14" s="138">
        <v>7.0000000000000007E-2</v>
      </c>
    </row>
    <row r="15" spans="1:22" ht="22.5" customHeight="1">
      <c r="A15" s="312"/>
      <c r="B15" s="112" t="s">
        <v>11</v>
      </c>
      <c r="C15" s="167">
        <v>0</v>
      </c>
      <c r="D15" s="167">
        <v>0.22</v>
      </c>
      <c r="E15" s="167"/>
      <c r="F15" s="167">
        <v>3.6999999999999998E-2</v>
      </c>
      <c r="G15" s="167">
        <v>5.8000000000000003E-2</v>
      </c>
      <c r="H15" s="168">
        <v>0.1</v>
      </c>
      <c r="I15" s="316"/>
      <c r="J15" s="312"/>
      <c r="K15" s="178" t="s">
        <v>11</v>
      </c>
      <c r="L15" s="179">
        <v>0</v>
      </c>
      <c r="M15" s="179">
        <v>0.08</v>
      </c>
      <c r="N15" s="316"/>
      <c r="P15" s="86"/>
      <c r="Q15" s="137" t="s">
        <v>35</v>
      </c>
      <c r="R15" s="138">
        <v>0.1</v>
      </c>
    </row>
    <row r="16" spans="1:22" ht="22.5" customHeight="1">
      <c r="A16" s="313"/>
      <c r="B16" s="112" t="str">
        <f>入力!B17</f>
        <v>アップする</v>
      </c>
      <c r="C16" s="164">
        <f>入力!C17</f>
        <v>0</v>
      </c>
      <c r="D16" s="164">
        <f>入力!D17</f>
        <v>0</v>
      </c>
      <c r="E16" s="164">
        <f>入力!E17</f>
        <v>0</v>
      </c>
      <c r="F16" s="164">
        <f>入力!F17</f>
        <v>1</v>
      </c>
      <c r="G16" s="164">
        <f>入力!G17</f>
        <v>1</v>
      </c>
      <c r="H16" s="164">
        <f>入力!H17</f>
        <v>1</v>
      </c>
      <c r="I16" s="112" t="str">
        <f>入力!I17</f>
        <v>-</v>
      </c>
      <c r="J16" s="313"/>
      <c r="K16" s="178" t="str">
        <f>入力!K17</f>
        <v>アップする</v>
      </c>
      <c r="L16" s="164">
        <f>入力!L17</f>
        <v>0</v>
      </c>
      <c r="M16" s="164">
        <f>入力!M17</f>
        <v>1</v>
      </c>
      <c r="N16" s="200" t="str">
        <f>入力!N17</f>
        <v>-</v>
      </c>
      <c r="P16" s="86"/>
      <c r="Q16" s="137"/>
      <c r="R16" s="138"/>
    </row>
    <row r="17" spans="1:18" ht="22.5" customHeight="1" thickBot="1">
      <c r="A17" s="314"/>
      <c r="B17" s="134" t="s">
        <v>33</v>
      </c>
      <c r="C17" s="181"/>
      <c r="D17" s="181">
        <f>10%*D16</f>
        <v>0</v>
      </c>
      <c r="E17" s="181"/>
      <c r="F17" s="181">
        <f>14%*F16</f>
        <v>0.14000000000000001</v>
      </c>
      <c r="G17" s="181">
        <f>14.5%*G16</f>
        <v>0.14499999999999999</v>
      </c>
      <c r="H17" s="188">
        <f>10%*H16</f>
        <v>0.1</v>
      </c>
      <c r="I17" s="133">
        <f>C14*C17+D14*D17+E14*E17+F14*F17+G14*G17+H14*H17</f>
        <v>0.14000000000000001</v>
      </c>
      <c r="J17" s="314"/>
      <c r="K17" s="192" t="s">
        <v>33</v>
      </c>
      <c r="L17" s="181"/>
      <c r="M17" s="181">
        <f>20%*M16</f>
        <v>0.2</v>
      </c>
      <c r="N17" s="189">
        <f>M14*M17</f>
        <v>0</v>
      </c>
      <c r="P17" s="86"/>
      <c r="Q17" s="137" t="s">
        <v>36</v>
      </c>
      <c r="R17" s="138">
        <v>0.3</v>
      </c>
    </row>
    <row r="18" spans="1:18" ht="42.75" customHeight="1" thickBot="1">
      <c r="A18" s="288" t="s">
        <v>16</v>
      </c>
      <c r="B18" s="172"/>
      <c r="C18" s="173" t="s">
        <v>12</v>
      </c>
      <c r="D18" s="173" t="s">
        <v>51</v>
      </c>
      <c r="E18" s="173"/>
      <c r="F18" s="173"/>
      <c r="G18" s="173" t="s">
        <v>17</v>
      </c>
      <c r="H18" s="173" t="s">
        <v>18</v>
      </c>
      <c r="I18" s="173" t="s">
        <v>19</v>
      </c>
      <c r="J18" s="173" t="s">
        <v>21</v>
      </c>
      <c r="K18" s="173" t="s">
        <v>53</v>
      </c>
      <c r="L18" s="173" t="s">
        <v>20</v>
      </c>
      <c r="M18" s="184" t="s">
        <v>11</v>
      </c>
      <c r="P18" s="86"/>
      <c r="Q18" s="137" t="s">
        <v>37</v>
      </c>
      <c r="R18" s="138">
        <v>0.35</v>
      </c>
    </row>
    <row r="19" spans="1:18" ht="22.5" customHeight="1" thickTop="1">
      <c r="A19" s="289"/>
      <c r="B19" s="185" t="s">
        <v>10</v>
      </c>
      <c r="C19" s="177">
        <f>入力!C20</f>
        <v>0</v>
      </c>
      <c r="D19" s="177">
        <f>入力!D20</f>
        <v>1</v>
      </c>
      <c r="E19" s="177">
        <f>入力!E20</f>
        <v>0</v>
      </c>
      <c r="F19" s="177">
        <f>入力!F20</f>
        <v>0</v>
      </c>
      <c r="G19" s="177">
        <f>入力!G20</f>
        <v>1</v>
      </c>
      <c r="H19" s="177">
        <f>入力!H20</f>
        <v>0</v>
      </c>
      <c r="I19" s="177">
        <f>入力!I20</f>
        <v>0</v>
      </c>
      <c r="J19" s="177">
        <f>入力!J20</f>
        <v>0</v>
      </c>
      <c r="K19" s="177">
        <f>入力!K20</f>
        <v>0</v>
      </c>
      <c r="L19" s="177">
        <f>入力!L20</f>
        <v>0</v>
      </c>
      <c r="M19" s="315">
        <f>C19*C20+D19*D20+E19*E20+F19*F20+I19*I20+J19*J20+K19*K20+L19*L20+G19*G20+H19*H20</f>
        <v>7.2000000000000008E-2</v>
      </c>
      <c r="P19" s="86"/>
      <c r="Q19" s="137" t="s">
        <v>29</v>
      </c>
      <c r="R19" s="138">
        <v>0</v>
      </c>
    </row>
    <row r="20" spans="1:18" ht="22.5" customHeight="1">
      <c r="A20" s="289"/>
      <c r="B20" s="178" t="s">
        <v>11</v>
      </c>
      <c r="C20" s="179">
        <v>0</v>
      </c>
      <c r="D20" s="179">
        <v>7.0000000000000007E-2</v>
      </c>
      <c r="E20" s="179">
        <v>7.0000000000000007E-2</v>
      </c>
      <c r="F20" s="186"/>
      <c r="G20" s="186">
        <v>2E-3</v>
      </c>
      <c r="H20" s="186">
        <v>3.0000000000000001E-3</v>
      </c>
      <c r="I20" s="179">
        <v>1.0999999999999999E-2</v>
      </c>
      <c r="J20" s="186">
        <v>4.2999999999999997E-2</v>
      </c>
      <c r="K20" s="187">
        <v>1.4999999999999999E-2</v>
      </c>
      <c r="L20" s="186">
        <v>4.7E-2</v>
      </c>
      <c r="M20" s="316"/>
      <c r="P20" s="127"/>
      <c r="Q20" s="137" t="s">
        <v>38</v>
      </c>
      <c r="R20" s="138">
        <f>(R14+R15+R17+R18+R19)*0.049</f>
        <v>4.018E-2</v>
      </c>
    </row>
    <row r="21" spans="1:18" ht="22.5" customHeight="1">
      <c r="A21" s="289"/>
      <c r="B21" s="178" t="str">
        <f>入力!B22</f>
        <v>アップする</v>
      </c>
      <c r="C21" s="164">
        <f>入力!C22</f>
        <v>0</v>
      </c>
      <c r="D21" s="164">
        <f>入力!D22</f>
        <v>0</v>
      </c>
      <c r="E21" s="164">
        <f>入力!E22</f>
        <v>1</v>
      </c>
      <c r="F21" s="164">
        <f>入力!F22</f>
        <v>1</v>
      </c>
      <c r="G21" s="164">
        <f>入力!G22</f>
        <v>1</v>
      </c>
      <c r="H21" s="164">
        <f>入力!H22</f>
        <v>1</v>
      </c>
      <c r="I21" s="164">
        <f>入力!I22</f>
        <v>1</v>
      </c>
      <c r="J21" s="164">
        <f>入力!J22</f>
        <v>1</v>
      </c>
      <c r="K21" s="164">
        <f>入力!K22</f>
        <v>1</v>
      </c>
      <c r="L21" s="164">
        <f>入力!L22</f>
        <v>1</v>
      </c>
      <c r="M21" s="200">
        <f>入力!M22</f>
        <v>0</v>
      </c>
      <c r="P21" s="127"/>
      <c r="Q21" s="137"/>
      <c r="R21" s="138"/>
    </row>
    <row r="22" spans="1:18" ht="22.5" customHeight="1" thickBot="1">
      <c r="A22" s="318"/>
      <c r="B22" s="192" t="s">
        <v>33</v>
      </c>
      <c r="C22" s="188"/>
      <c r="D22" s="188">
        <f>10%*D21</f>
        <v>0</v>
      </c>
      <c r="E22" s="188"/>
      <c r="F22" s="188"/>
      <c r="G22" s="188">
        <f>3%*G21</f>
        <v>0.03</v>
      </c>
      <c r="H22" s="188">
        <f>3%*H21</f>
        <v>0.03</v>
      </c>
      <c r="I22" s="188">
        <f>3%*I21</f>
        <v>0.03</v>
      </c>
      <c r="J22" s="188">
        <f>4%*J21</f>
        <v>0.04</v>
      </c>
      <c r="K22" s="188">
        <f>5%*K21</f>
        <v>0.05</v>
      </c>
      <c r="L22" s="188">
        <f>6%*L21</f>
        <v>0.06</v>
      </c>
      <c r="M22" s="191">
        <f>D19*D22+E19*E22+F19*F22+G19*G22+H19*H22+I19*I22+J19*J22+K19*K22+L19*L22</f>
        <v>0.03</v>
      </c>
      <c r="P22" s="86"/>
      <c r="Q22" s="137" t="s">
        <v>44</v>
      </c>
      <c r="R22" s="138">
        <v>0</v>
      </c>
    </row>
    <row r="23" spans="1:18" ht="42" customHeight="1" thickBot="1">
      <c r="A23" s="311" t="s">
        <v>24</v>
      </c>
      <c r="B23" s="106"/>
      <c r="C23" s="107" t="s">
        <v>12</v>
      </c>
      <c r="D23" s="107" t="s">
        <v>25</v>
      </c>
      <c r="E23" s="107" t="s">
        <v>26</v>
      </c>
      <c r="F23" s="107" t="s">
        <v>74</v>
      </c>
      <c r="G23" s="107" t="s">
        <v>27</v>
      </c>
      <c r="H23" s="107"/>
      <c r="I23" s="107" t="s">
        <v>32</v>
      </c>
      <c r="J23" s="121" t="s">
        <v>11</v>
      </c>
      <c r="K23" s="311" t="s">
        <v>29</v>
      </c>
      <c r="L23" s="172"/>
      <c r="M23" s="173" t="s">
        <v>12</v>
      </c>
      <c r="N23" s="173" t="s">
        <v>30</v>
      </c>
      <c r="O23" s="184" t="s">
        <v>11</v>
      </c>
      <c r="P23" s="86"/>
      <c r="Q23" s="137" t="s">
        <v>39</v>
      </c>
      <c r="R23" s="138">
        <v>0</v>
      </c>
    </row>
    <row r="24" spans="1:18" ht="22.5" customHeight="1" thickTop="1">
      <c r="A24" s="312"/>
      <c r="B24" s="122" t="s">
        <v>10</v>
      </c>
      <c r="C24" s="111">
        <f>入力!C25</f>
        <v>0</v>
      </c>
      <c r="D24" s="111">
        <f>入力!D25</f>
        <v>0</v>
      </c>
      <c r="E24" s="111">
        <f>入力!E25</f>
        <v>1</v>
      </c>
      <c r="F24" s="111">
        <f>入力!F25</f>
        <v>0</v>
      </c>
      <c r="G24" s="111">
        <f>入力!G25</f>
        <v>0</v>
      </c>
      <c r="H24" s="111">
        <f>入力!H25</f>
        <v>0</v>
      </c>
      <c r="I24" s="111">
        <f>入力!I25</f>
        <v>1</v>
      </c>
      <c r="J24" s="315">
        <f>C24*C25+D24*D25+E24*E25+F24*F25+I24*I25</f>
        <v>0.11</v>
      </c>
      <c r="K24" s="312"/>
      <c r="L24" s="185" t="s">
        <v>10</v>
      </c>
      <c r="M24" s="177">
        <f>入力!M25</f>
        <v>1</v>
      </c>
      <c r="N24" s="177">
        <f>入力!N25</f>
        <v>0</v>
      </c>
      <c r="O24" s="315">
        <f>M24*M25+N24*N25</f>
        <v>0</v>
      </c>
      <c r="P24" s="86"/>
      <c r="Q24" s="137" t="s">
        <v>40</v>
      </c>
      <c r="R24" s="138">
        <v>0</v>
      </c>
    </row>
    <row r="25" spans="1:18" ht="22.5" customHeight="1">
      <c r="A25" s="312"/>
      <c r="B25" s="112" t="s">
        <v>11</v>
      </c>
      <c r="C25" s="113">
        <v>0</v>
      </c>
      <c r="D25" s="113">
        <v>0.11</v>
      </c>
      <c r="E25" s="125"/>
      <c r="F25" s="113">
        <v>0.01</v>
      </c>
      <c r="G25" s="113">
        <v>0.01</v>
      </c>
      <c r="H25" s="126"/>
      <c r="I25" s="126">
        <v>0.11</v>
      </c>
      <c r="J25" s="316"/>
      <c r="K25" s="312"/>
      <c r="L25" s="178" t="s">
        <v>11</v>
      </c>
      <c r="M25" s="179">
        <v>0</v>
      </c>
      <c r="N25" s="179">
        <v>0.01</v>
      </c>
      <c r="O25" s="316"/>
      <c r="P25" s="86"/>
      <c r="Q25" s="137" t="s">
        <v>41</v>
      </c>
      <c r="R25" s="138">
        <f>(R14+R15+R17+R18+R19+R20+R22+R23+R24)*0.15</f>
        <v>0.12902699999999998</v>
      </c>
    </row>
    <row r="26" spans="1:18" ht="22.5" customHeight="1">
      <c r="A26" s="313"/>
      <c r="B26" s="112" t="str">
        <f>入力!B27</f>
        <v>アップする</v>
      </c>
      <c r="C26" s="164">
        <f>入力!C27</f>
        <v>0</v>
      </c>
      <c r="D26" s="164">
        <f>入力!D27</f>
        <v>0</v>
      </c>
      <c r="E26" s="164">
        <f>入力!E27</f>
        <v>1</v>
      </c>
      <c r="F26" s="164">
        <f>入力!F27</f>
        <v>1</v>
      </c>
      <c r="G26" s="164">
        <f>入力!G27</f>
        <v>1</v>
      </c>
      <c r="H26" s="164">
        <f>入力!H27</f>
        <v>1</v>
      </c>
      <c r="I26" s="164">
        <f>入力!I27</f>
        <v>1</v>
      </c>
      <c r="J26" s="112" t="str">
        <f>入力!J27</f>
        <v>-</v>
      </c>
      <c r="K26" s="313"/>
      <c r="L26" s="178" t="str">
        <f>入力!L27</f>
        <v>アップする</v>
      </c>
      <c r="M26" s="164">
        <f>入力!M27</f>
        <v>0</v>
      </c>
      <c r="N26" s="164">
        <f>入力!N27</f>
        <v>1</v>
      </c>
      <c r="O26" s="200" t="str">
        <f>入力!O27</f>
        <v>-</v>
      </c>
      <c r="P26" s="86"/>
      <c r="Q26" s="137"/>
      <c r="R26" s="138"/>
    </row>
    <row r="27" spans="1:18" ht="22.5" customHeight="1" thickBot="1">
      <c r="A27" s="314"/>
      <c r="B27" s="134" t="s">
        <v>33</v>
      </c>
      <c r="C27" s="118"/>
      <c r="D27" s="118">
        <f>30%*D26</f>
        <v>0</v>
      </c>
      <c r="E27" s="154">
        <f>3%*E26</f>
        <v>0.03</v>
      </c>
      <c r="F27" s="118"/>
      <c r="G27" s="132"/>
      <c r="H27" s="132"/>
      <c r="I27" s="132">
        <f>40%*I26</f>
        <v>0.4</v>
      </c>
      <c r="J27" s="131">
        <f>D24*D27+E24*E27+F24*F27+G24*G27+H24*H27+I24*I27</f>
        <v>0.43000000000000005</v>
      </c>
      <c r="K27" s="314"/>
      <c r="L27" s="192" t="s">
        <v>33</v>
      </c>
      <c r="M27" s="181"/>
      <c r="N27" s="181">
        <f>0.5%*N26</f>
        <v>5.0000000000000001E-3</v>
      </c>
      <c r="O27" s="189">
        <f>N24*N27</f>
        <v>0</v>
      </c>
      <c r="P27" s="86"/>
      <c r="Q27" s="137" t="s">
        <v>42</v>
      </c>
      <c r="R27" s="138" t="e">
        <f>ホテル/ホテル</f>
        <v>#NAME?</v>
      </c>
    </row>
    <row r="28" spans="1:18" ht="41.25" customHeight="1">
      <c r="C28" s="85"/>
      <c r="D28" s="85"/>
      <c r="E28" s="85"/>
    </row>
    <row r="29" spans="1:18" ht="22.5" customHeight="1">
      <c r="C29" s="85"/>
      <c r="D29" s="85"/>
      <c r="E29" s="85"/>
    </row>
    <row r="30" spans="1:18" ht="22.5" customHeight="1">
      <c r="C30" s="85"/>
      <c r="D30" s="85"/>
      <c r="E30" s="85"/>
    </row>
    <row r="31" spans="1:18" ht="22.5" customHeight="1">
      <c r="C31" s="85"/>
      <c r="D31" s="85"/>
      <c r="E31" s="85"/>
    </row>
    <row r="32" spans="1:18" ht="22.5" customHeight="1">
      <c r="C32" s="85"/>
      <c r="D32" s="85"/>
      <c r="E32" s="85"/>
    </row>
    <row r="33" ht="42" customHeight="1"/>
    <row r="34" ht="22.5" customHeight="1"/>
    <row r="35" ht="22.5" customHeight="1"/>
    <row r="36" ht="22.5" customHeight="1"/>
    <row r="37" ht="22.5" customHeight="1"/>
  </sheetData>
  <mergeCells count="23">
    <mergeCell ref="P9:P10"/>
    <mergeCell ref="A1:P1"/>
    <mergeCell ref="B3:D3"/>
    <mergeCell ref="A4:B4"/>
    <mergeCell ref="E4:F4"/>
    <mergeCell ref="J4:K4"/>
    <mergeCell ref="L4:M4"/>
    <mergeCell ref="O4:P4"/>
    <mergeCell ref="B5:C5"/>
    <mergeCell ref="E5:F5"/>
    <mergeCell ref="J5:K5"/>
    <mergeCell ref="M5:N5"/>
    <mergeCell ref="A8:A12"/>
    <mergeCell ref="A23:A27"/>
    <mergeCell ref="K23:K27"/>
    <mergeCell ref="J24:J25"/>
    <mergeCell ref="O24:O25"/>
    <mergeCell ref="A13:A17"/>
    <mergeCell ref="J13:J17"/>
    <mergeCell ref="I14:I15"/>
    <mergeCell ref="N14:N15"/>
    <mergeCell ref="A18:A22"/>
    <mergeCell ref="M19:M20"/>
  </mergeCells>
  <phoneticPr fontId="2"/>
  <dataValidations count="1">
    <dataValidation type="list" allowBlank="1" showInputMessage="1" showErrorMessage="1" sqref="F3">
      <formula1>$R$2:$R$8</formula1>
    </dataValidation>
  </dataValidations>
  <pageMargins left="0.9055118110236221" right="0" top="0.74803149606299213" bottom="0.15748031496062992" header="0.31496062992125984" footer="0.31496062992125984"/>
  <pageSetup paperSize="8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8" sqref="G38"/>
    </sheetView>
  </sheetViews>
  <sheetFormatPr defaultRowHeight="13.5"/>
  <sheetData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8"/>
  <sheetViews>
    <sheetView workbookViewId="0">
      <selection activeCell="Q14" sqref="Q14"/>
    </sheetView>
  </sheetViews>
  <sheetFormatPr defaultRowHeight="13.5"/>
  <cols>
    <col min="1" max="1" width="4.875" customWidth="1"/>
    <col min="2" max="2" width="23.5" customWidth="1"/>
    <col min="3" max="3" width="12.25" customWidth="1"/>
    <col min="5" max="5" width="14.5" customWidth="1"/>
    <col min="6" max="6" width="8.25" customWidth="1"/>
    <col min="7" max="7" width="14.375" customWidth="1"/>
    <col min="9" max="9" width="9" customWidth="1"/>
    <col min="12" max="16" width="9" customWidth="1"/>
  </cols>
  <sheetData>
    <row r="2" spans="1:16">
      <c r="I2" t="s">
        <v>72</v>
      </c>
    </row>
    <row r="3" spans="1:16">
      <c r="C3" s="322" t="s">
        <v>45</v>
      </c>
      <c r="D3" s="322"/>
      <c r="J3" s="144" t="s">
        <v>70</v>
      </c>
      <c r="K3" s="144" t="s">
        <v>69</v>
      </c>
      <c r="L3" s="144" t="s">
        <v>82</v>
      </c>
      <c r="M3" s="144" t="s">
        <v>93</v>
      </c>
      <c r="N3" s="144"/>
      <c r="O3" s="144"/>
      <c r="P3" s="144"/>
    </row>
    <row r="4" spans="1:16">
      <c r="C4" s="10" t="s">
        <v>43</v>
      </c>
      <c r="D4" s="10" t="str">
        <f>入力!F3</f>
        <v>事務所</v>
      </c>
      <c r="F4" t="str">
        <f>D4</f>
        <v>事務所</v>
      </c>
      <c r="G4" s="165" t="s">
        <v>94</v>
      </c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209">
        <v>6</v>
      </c>
      <c r="P4" s="209">
        <v>7</v>
      </c>
    </row>
    <row r="5" spans="1:16">
      <c r="A5">
        <v>1</v>
      </c>
      <c r="B5" t="s">
        <v>34</v>
      </c>
      <c r="C5" s="9">
        <v>104000</v>
      </c>
      <c r="D5" s="12">
        <f>INDEX(J5:$N$16,$I$5,$J$17)</f>
        <v>0.29499999999999998</v>
      </c>
      <c r="E5" s="15">
        <f t="shared" ref="E5:E14" si="0">$E$16*D5</f>
        <v>147500000</v>
      </c>
      <c r="F5" s="12">
        <f>INDEX(J22:$N$32,$I$22,$J$33)</f>
        <v>0.01</v>
      </c>
      <c r="G5" s="15">
        <f>F5*E5</f>
        <v>1475000</v>
      </c>
      <c r="I5" s="14">
        <v>1</v>
      </c>
      <c r="J5" s="12">
        <v>0.29499999999999998</v>
      </c>
      <c r="K5" s="12">
        <v>0.29299999999999998</v>
      </c>
      <c r="L5" s="12">
        <v>0.29499999999999998</v>
      </c>
      <c r="M5" s="169">
        <v>0.29499999999999998</v>
      </c>
      <c r="N5" s="169">
        <v>0</v>
      </c>
      <c r="O5" s="169"/>
      <c r="P5" s="169"/>
    </row>
    <row r="6" spans="1:16">
      <c r="A6">
        <v>2</v>
      </c>
      <c r="B6" t="s">
        <v>35</v>
      </c>
      <c r="C6" s="9">
        <v>33700</v>
      </c>
      <c r="D6" s="12">
        <f>INDEX(J6:$N$16,$I$5,$J$17)</f>
        <v>9.6000000000000002E-2</v>
      </c>
      <c r="E6" s="15">
        <f t="shared" si="0"/>
        <v>48000000</v>
      </c>
      <c r="F6" s="169">
        <f>INDEX(J23:$N$32,$I$22,$J$33)</f>
        <v>0.03</v>
      </c>
      <c r="G6" s="15">
        <f t="shared" ref="G6:G14" si="1">F6*E6</f>
        <v>1440000</v>
      </c>
      <c r="I6" s="14">
        <v>2</v>
      </c>
      <c r="J6" s="12">
        <v>9.6000000000000002E-2</v>
      </c>
      <c r="K6" s="12">
        <v>6.5000000000000002E-2</v>
      </c>
      <c r="L6" s="12">
        <v>7.0999999999999994E-2</v>
      </c>
      <c r="M6" s="169">
        <v>0.09</v>
      </c>
      <c r="N6" s="169"/>
      <c r="O6" s="169"/>
      <c r="P6" s="169"/>
    </row>
    <row r="7" spans="1:16">
      <c r="A7">
        <v>3</v>
      </c>
      <c r="B7" t="s">
        <v>36</v>
      </c>
      <c r="C7" s="9">
        <v>19000</v>
      </c>
      <c r="D7" s="12">
        <f>INDEX(J7:$N$16,$I$5,$J$17)</f>
        <v>5.3999999999999999E-2</v>
      </c>
      <c r="E7" s="15">
        <f t="shared" si="0"/>
        <v>27000000</v>
      </c>
      <c r="F7" s="169">
        <f>INDEX(J24:$N$32,$I$22,$J$33)</f>
        <v>0</v>
      </c>
      <c r="G7" s="15">
        <f>F7*E7</f>
        <v>0</v>
      </c>
      <c r="I7" s="14">
        <v>3</v>
      </c>
      <c r="J7" s="12">
        <v>5.3999999999999999E-2</v>
      </c>
      <c r="K7" s="12">
        <v>0.10299999999999999</v>
      </c>
      <c r="L7" s="12">
        <v>0.08</v>
      </c>
      <c r="M7" s="169">
        <v>0.09</v>
      </c>
      <c r="N7" s="169"/>
      <c r="O7" s="169"/>
      <c r="P7" s="169"/>
    </row>
    <row r="8" spans="1:16">
      <c r="A8">
        <v>4</v>
      </c>
      <c r="B8" t="s">
        <v>37</v>
      </c>
      <c r="C8" s="9">
        <v>26300</v>
      </c>
      <c r="D8" s="12">
        <f>INDEX(J8:$N$16,$I$5,$J$17)</f>
        <v>7.4999999999999997E-2</v>
      </c>
      <c r="E8" s="15">
        <f t="shared" si="0"/>
        <v>37500000</v>
      </c>
      <c r="F8" s="169">
        <f>INDEX(J25:$N$32,$I$22,$J$33)</f>
        <v>0.14000000000000001</v>
      </c>
      <c r="G8" s="15">
        <f t="shared" si="1"/>
        <v>5250000.0000000009</v>
      </c>
      <c r="I8" s="14">
        <v>4</v>
      </c>
      <c r="J8" s="12">
        <v>7.4999999999999997E-2</v>
      </c>
      <c r="K8" s="12">
        <v>0.106</v>
      </c>
      <c r="L8" s="12">
        <v>0.11</v>
      </c>
      <c r="M8" s="169">
        <v>7.0000000000000007E-2</v>
      </c>
      <c r="N8" s="169"/>
      <c r="O8" s="169"/>
      <c r="P8" s="169"/>
    </row>
    <row r="9" spans="1:16">
      <c r="A9">
        <v>5</v>
      </c>
      <c r="B9" t="s">
        <v>29</v>
      </c>
      <c r="C9" s="9">
        <v>6900</v>
      </c>
      <c r="D9" s="12">
        <f>INDEX(J9:$N$16,$I$5,$J$17)</f>
        <v>0.02</v>
      </c>
      <c r="E9" s="15">
        <f t="shared" si="0"/>
        <v>10000000</v>
      </c>
      <c r="F9" s="169">
        <f>INDEX(J26:$N$32,$I$22,$J$33)</f>
        <v>0</v>
      </c>
      <c r="G9" s="15">
        <f t="shared" si="1"/>
        <v>0</v>
      </c>
      <c r="I9" s="14">
        <v>5</v>
      </c>
      <c r="J9" s="12">
        <v>0.02</v>
      </c>
      <c r="K9" s="12">
        <v>1.2999999999999999E-2</v>
      </c>
      <c r="L9" s="12">
        <v>1.4E-2</v>
      </c>
      <c r="M9" s="169">
        <v>1.4999999999999999E-2</v>
      </c>
      <c r="N9" s="169"/>
      <c r="O9" s="169"/>
      <c r="P9" s="169"/>
    </row>
    <row r="10" spans="1:16">
      <c r="A10">
        <v>6</v>
      </c>
      <c r="B10" t="s">
        <v>38</v>
      </c>
      <c r="C10" s="9">
        <v>22200</v>
      </c>
      <c r="D10" s="12">
        <f>INDEX(J10:$N$16,$I$5,$J$17)</f>
        <v>6.3E-2</v>
      </c>
      <c r="E10" s="15">
        <f t="shared" si="0"/>
        <v>31500000</v>
      </c>
      <c r="F10" s="169">
        <f>INDEX(J27:$N$32,$I$22,$J$33)</f>
        <v>3.9600000000000003E-2</v>
      </c>
      <c r="G10" s="15">
        <f t="shared" si="1"/>
        <v>1247400</v>
      </c>
      <c r="I10" s="14">
        <v>6</v>
      </c>
      <c r="J10" s="12">
        <v>6.3E-2</v>
      </c>
      <c r="K10" s="12">
        <v>5.0999999999999997E-2</v>
      </c>
      <c r="L10" s="12">
        <v>5.2999999999999999E-2</v>
      </c>
      <c r="M10" s="169">
        <v>0.06</v>
      </c>
      <c r="N10" s="169"/>
      <c r="O10" s="169"/>
      <c r="P10" s="169"/>
    </row>
    <row r="11" spans="1:16">
      <c r="A11">
        <v>7</v>
      </c>
      <c r="B11" t="s">
        <v>44</v>
      </c>
      <c r="C11" s="9">
        <v>11100</v>
      </c>
      <c r="D11" s="12">
        <f>INDEX(J11:$N$16,$I$5,$J$17)</f>
        <v>3.2000000000000001E-2</v>
      </c>
      <c r="E11" s="15">
        <f t="shared" si="0"/>
        <v>16000000</v>
      </c>
      <c r="F11" s="169">
        <f>INDEX(J28:$N$32,$I$22,$J$33)</f>
        <v>0</v>
      </c>
      <c r="G11" s="15">
        <f t="shared" si="1"/>
        <v>0</v>
      </c>
      <c r="I11" s="14">
        <v>7</v>
      </c>
      <c r="J11" s="12">
        <v>3.2000000000000001E-2</v>
      </c>
      <c r="K11" s="12">
        <v>2.8000000000000001E-2</v>
      </c>
      <c r="L11" s="12">
        <v>0.03</v>
      </c>
      <c r="M11" s="169">
        <v>0.03</v>
      </c>
      <c r="N11" s="169"/>
      <c r="O11" s="169"/>
      <c r="P11" s="169"/>
    </row>
    <row r="12" spans="1:16">
      <c r="A12">
        <v>8</v>
      </c>
      <c r="B12" t="s">
        <v>39</v>
      </c>
      <c r="C12" s="9">
        <v>14400</v>
      </c>
      <c r="D12" s="12">
        <f>INDEX(J12:$N$16,$I$5,$J$17)</f>
        <v>4.1000000000000002E-2</v>
      </c>
      <c r="E12" s="15">
        <f t="shared" si="0"/>
        <v>20500000</v>
      </c>
      <c r="F12" s="169">
        <f>INDEX(J29:$N$32,$I$22,$J$33)</f>
        <v>0</v>
      </c>
      <c r="G12" s="15">
        <f t="shared" si="1"/>
        <v>0</v>
      </c>
      <c r="I12" s="14">
        <v>8</v>
      </c>
      <c r="J12" s="12">
        <v>4.1000000000000002E-2</v>
      </c>
      <c r="K12" s="12">
        <v>3.5000000000000003E-2</v>
      </c>
      <c r="L12" s="12">
        <v>3.6999999999999998E-2</v>
      </c>
      <c r="M12" s="169">
        <v>0.04</v>
      </c>
      <c r="N12" s="169"/>
      <c r="O12" s="169"/>
      <c r="P12" s="169"/>
    </row>
    <row r="13" spans="1:16">
      <c r="A13">
        <v>9</v>
      </c>
      <c r="B13" t="s">
        <v>40</v>
      </c>
      <c r="C13" s="9">
        <v>74100</v>
      </c>
      <c r="D13" s="12">
        <f>INDEX(J13:$N$16,$I$5,$J$17)</f>
        <v>0.21</v>
      </c>
      <c r="E13" s="15">
        <f t="shared" si="0"/>
        <v>105000000</v>
      </c>
      <c r="F13" s="169">
        <f>INDEX(J30:$N$32,$I$22,$J$33)</f>
        <v>0</v>
      </c>
      <c r="G13" s="15">
        <f t="shared" si="1"/>
        <v>0</v>
      </c>
      <c r="I13" s="14">
        <v>9</v>
      </c>
      <c r="J13" s="12">
        <v>0.21</v>
      </c>
      <c r="K13" s="12">
        <v>0.219</v>
      </c>
      <c r="L13" s="12">
        <v>0.22</v>
      </c>
      <c r="M13" s="169">
        <v>0.21</v>
      </c>
      <c r="N13" s="169"/>
      <c r="O13" s="169"/>
      <c r="P13" s="169"/>
    </row>
    <row r="14" spans="1:16">
      <c r="A14">
        <v>10</v>
      </c>
      <c r="B14" t="s">
        <v>41</v>
      </c>
      <c r="C14" s="9">
        <v>40400</v>
      </c>
      <c r="D14" s="12">
        <f>INDEX(J14:$N$16,$I$5,$J$17)</f>
        <v>0.114</v>
      </c>
      <c r="E14" s="15">
        <f t="shared" si="0"/>
        <v>57000000</v>
      </c>
      <c r="F14" s="169">
        <f>INDEX(J31:$N$32,$I$22,$J$33)</f>
        <v>3.2940000000000004E-2</v>
      </c>
      <c r="G14" s="15">
        <f t="shared" si="1"/>
        <v>1877580.0000000002</v>
      </c>
      <c r="I14" s="14">
        <v>10</v>
      </c>
      <c r="J14" s="12">
        <v>0.114</v>
      </c>
      <c r="K14" s="12">
        <v>8.6999999999999994E-2</v>
      </c>
      <c r="L14" s="12">
        <v>0.09</v>
      </c>
      <c r="M14" s="169">
        <v>0.1</v>
      </c>
      <c r="N14" s="169"/>
      <c r="O14" s="169"/>
      <c r="P14" s="169"/>
    </row>
    <row r="15" spans="1:16" s="54" customFormat="1">
      <c r="C15" s="9"/>
      <c r="D15" s="169"/>
      <c r="E15" s="15"/>
      <c r="F15" s="169"/>
      <c r="G15" s="15"/>
      <c r="I15" s="165"/>
      <c r="J15" s="169"/>
      <c r="K15" s="169"/>
      <c r="L15" s="169"/>
      <c r="M15" s="169"/>
      <c r="N15" s="215"/>
      <c r="O15" s="209"/>
      <c r="P15" s="209"/>
    </row>
    <row r="16" spans="1:16" ht="14.25" thickBot="1">
      <c r="A16">
        <v>11</v>
      </c>
      <c r="B16" t="s">
        <v>42</v>
      </c>
      <c r="C16" s="9">
        <f>SUM(C5:C14)</f>
        <v>352100</v>
      </c>
      <c r="D16" s="12">
        <f>INDEX(J16:$N$16,$I$5,$J$17)</f>
        <v>1</v>
      </c>
      <c r="E16" s="15">
        <f>入力!E4</f>
        <v>500000000</v>
      </c>
      <c r="F16" s="169">
        <f>INDEX(J32:$N$32,$I$22,$J$33)</f>
        <v>2.257996E-2</v>
      </c>
      <c r="G16" s="15">
        <f>SUM(G5:G15)</f>
        <v>11289980</v>
      </c>
      <c r="I16" s="14">
        <v>11</v>
      </c>
      <c r="J16" s="12">
        <f>SUM(J5:J14)</f>
        <v>1</v>
      </c>
      <c r="K16" s="12">
        <f>SUM(K5:K14)</f>
        <v>1</v>
      </c>
      <c r="L16" s="12">
        <f>SUM(L5:L14)</f>
        <v>1.0000000000000002</v>
      </c>
      <c r="M16" s="169">
        <f>SUM(M5:M14)</f>
        <v>0.99999999999999989</v>
      </c>
      <c r="N16" s="169">
        <f t="shared" ref="N16:P16" si="2">SUM(N5:N14)</f>
        <v>0</v>
      </c>
      <c r="O16" s="169">
        <f t="shared" si="2"/>
        <v>0</v>
      </c>
      <c r="P16" s="169">
        <f t="shared" si="2"/>
        <v>0</v>
      </c>
    </row>
    <row r="17" spans="9:16" ht="14.25" thickBot="1">
      <c r="J17" s="37">
        <f>HLOOKUP(D4,J3:O4,2,0)</f>
        <v>1</v>
      </c>
      <c r="K17" s="11"/>
      <c r="N17" s="11"/>
      <c r="O17" s="11"/>
      <c r="P17" s="20"/>
    </row>
    <row r="18" spans="9:16">
      <c r="K18" s="19"/>
      <c r="L18" s="11"/>
      <c r="M18" s="21"/>
      <c r="N18" s="11"/>
    </row>
    <row r="19" spans="9:16">
      <c r="I19" t="s">
        <v>73</v>
      </c>
    </row>
    <row r="20" spans="9:16">
      <c r="J20" s="144" t="s">
        <v>70</v>
      </c>
      <c r="K20" s="144" t="s">
        <v>69</v>
      </c>
      <c r="L20" s="144" t="s">
        <v>82</v>
      </c>
      <c r="M20" s="194" t="s">
        <v>93</v>
      </c>
      <c r="N20" s="144"/>
      <c r="O20" s="144"/>
      <c r="P20" s="144"/>
    </row>
    <row r="21" spans="9:16">
      <c r="J21" s="14">
        <v>1</v>
      </c>
      <c r="K21" s="14">
        <v>2</v>
      </c>
      <c r="L21" s="14">
        <v>3</v>
      </c>
      <c r="M21" s="14">
        <v>4</v>
      </c>
      <c r="N21" s="209">
        <v>5</v>
      </c>
      <c r="O21" s="209">
        <v>6</v>
      </c>
      <c r="P21" s="209">
        <v>7</v>
      </c>
    </row>
    <row r="22" spans="9:16">
      <c r="I22" s="14">
        <v>1</v>
      </c>
      <c r="J22" s="12">
        <f>事務所!P12</f>
        <v>0.01</v>
      </c>
      <c r="K22" s="12">
        <f>老健!P12</f>
        <v>0.01</v>
      </c>
      <c r="L22" s="12">
        <f>スポーツクラブ!P12</f>
        <v>0.01</v>
      </c>
      <c r="M22" s="169">
        <f>ホテル!P12</f>
        <v>0.01</v>
      </c>
      <c r="N22" s="169">
        <v>0</v>
      </c>
      <c r="O22" s="169"/>
      <c r="P22" s="169"/>
    </row>
    <row r="23" spans="9:16">
      <c r="I23" s="14">
        <v>2</v>
      </c>
      <c r="J23" s="12">
        <f>事務所!M22</f>
        <v>0.03</v>
      </c>
      <c r="K23" s="12">
        <f>老健!M22</f>
        <v>0.03</v>
      </c>
      <c r="L23" s="12">
        <f>スポーツクラブ!M22</f>
        <v>0.03</v>
      </c>
      <c r="M23" s="169">
        <f>ホテル!M22</f>
        <v>0.03</v>
      </c>
      <c r="N23" s="169"/>
      <c r="O23" s="169"/>
      <c r="P23" s="169"/>
    </row>
    <row r="24" spans="9:16">
      <c r="I24" s="14">
        <v>3</v>
      </c>
      <c r="J24" s="12">
        <f>事務所!J27</f>
        <v>0</v>
      </c>
      <c r="K24" s="12">
        <f>老健!J27</f>
        <v>0.2</v>
      </c>
      <c r="L24" s="12">
        <f>スポーツクラブ!J27</f>
        <v>0.15</v>
      </c>
      <c r="M24" s="169">
        <f>ホテル!J27</f>
        <v>0.43000000000000005</v>
      </c>
      <c r="N24" s="169"/>
      <c r="O24" s="169"/>
      <c r="P24" s="169"/>
    </row>
    <row r="25" spans="9:16">
      <c r="I25" s="14">
        <v>4</v>
      </c>
      <c r="J25" s="12">
        <f>事務所!I17+事務所!N17</f>
        <v>0.14000000000000001</v>
      </c>
      <c r="K25" s="12">
        <f>老健!I17+老健!N17</f>
        <v>0.15</v>
      </c>
      <c r="L25" s="12">
        <f>スポーツクラブ!I17+スポーツクラブ!N17</f>
        <v>0.15</v>
      </c>
      <c r="M25" s="169">
        <f>ホテル!I17+ホテル!N17</f>
        <v>0.14000000000000001</v>
      </c>
      <c r="N25" s="169"/>
      <c r="O25" s="169"/>
      <c r="P25" s="169"/>
    </row>
    <row r="26" spans="9:16">
      <c r="I26" s="14">
        <v>5</v>
      </c>
      <c r="J26" s="12">
        <v>0</v>
      </c>
      <c r="K26" s="12">
        <f>老健!O27</f>
        <v>0</v>
      </c>
      <c r="L26" s="12">
        <f>スポーツクラブ!O27</f>
        <v>0</v>
      </c>
      <c r="M26" s="169">
        <f>ホテル!O27</f>
        <v>0</v>
      </c>
      <c r="N26" s="169"/>
      <c r="O26" s="169"/>
      <c r="P26" s="169"/>
    </row>
    <row r="27" spans="9:16">
      <c r="I27" s="14">
        <v>6</v>
      </c>
      <c r="J27" s="12">
        <f>(J22+J23+J24+J25+J26)*0.22</f>
        <v>3.9600000000000003E-2</v>
      </c>
      <c r="K27" s="12">
        <f>(K22+K23+K24+K25+K26)*0.049</f>
        <v>1.9110000000000002E-2</v>
      </c>
      <c r="L27" s="67">
        <f>(L22+L23+L24+L25+L26)*0.049</f>
        <v>1.6659999999999998E-2</v>
      </c>
      <c r="M27" s="169">
        <f>(M22+M23+M24+M25+M26)*0.22</f>
        <v>0.13420000000000001</v>
      </c>
      <c r="N27" s="169"/>
      <c r="O27" s="169"/>
      <c r="P27" s="169"/>
    </row>
    <row r="28" spans="9:16">
      <c r="I28" s="14">
        <v>7</v>
      </c>
      <c r="J28" s="12">
        <v>0</v>
      </c>
      <c r="K28" s="12">
        <v>0</v>
      </c>
      <c r="L28" s="67">
        <v>0</v>
      </c>
      <c r="M28" s="169">
        <v>0</v>
      </c>
      <c r="N28" s="169"/>
      <c r="O28" s="169"/>
      <c r="P28" s="169"/>
    </row>
    <row r="29" spans="9:16">
      <c r="I29" s="14">
        <v>8</v>
      </c>
      <c r="J29" s="12">
        <v>0</v>
      </c>
      <c r="K29" s="12">
        <v>0</v>
      </c>
      <c r="L29" s="67">
        <v>0</v>
      </c>
      <c r="M29" s="169">
        <v>0</v>
      </c>
      <c r="N29" s="169"/>
      <c r="O29" s="169"/>
      <c r="P29" s="169"/>
    </row>
    <row r="30" spans="9:16">
      <c r="I30" s="14">
        <v>9</v>
      </c>
      <c r="J30" s="12">
        <v>0</v>
      </c>
      <c r="K30" s="12">
        <v>0</v>
      </c>
      <c r="L30" s="67">
        <v>0</v>
      </c>
      <c r="M30" s="169">
        <v>0</v>
      </c>
      <c r="N30" s="169"/>
      <c r="O30" s="169"/>
      <c r="P30" s="169"/>
    </row>
    <row r="31" spans="9:16">
      <c r="I31" s="14">
        <v>10</v>
      </c>
      <c r="J31" s="12">
        <f>(J22+J23+J24+J25+J26+J27+J28+J29+J30)*0.15</f>
        <v>3.2940000000000004E-2</v>
      </c>
      <c r="K31" s="12">
        <f>(K22+K23+K24+K25+K26+K27+K28+K29+K30)*0.15</f>
        <v>6.1366500000000004E-2</v>
      </c>
      <c r="L31" s="67">
        <f>(L22+L23+L24+L25+L26+L27+L28+L29+L30)*0.15</f>
        <v>5.3498999999999998E-2</v>
      </c>
      <c r="M31" s="169">
        <f>(M22+M23+M24+M25+M26+M27+M28+M29+M30)*0.15</f>
        <v>0.11163000000000001</v>
      </c>
      <c r="N31" s="169"/>
      <c r="O31" s="169"/>
      <c r="P31" s="169"/>
    </row>
    <row r="32" spans="9:16" ht="14.25" thickBot="1">
      <c r="I32" s="14">
        <v>11</v>
      </c>
      <c r="J32" s="12">
        <f>事務所!J4/事務所!E4</f>
        <v>2.257996E-2</v>
      </c>
      <c r="K32" s="12">
        <f>老健!J4/老健!E4</f>
        <v>2.257996E-2</v>
      </c>
      <c r="L32" s="12">
        <f>スポーツクラブ!J4/スポーツクラブ!E4</f>
        <v>2.257996E-2</v>
      </c>
      <c r="M32" s="169">
        <f>ホテル!J4/ホテル!E4</f>
        <v>2.257996E-2</v>
      </c>
      <c r="N32" s="169"/>
      <c r="O32" s="169"/>
      <c r="P32" s="169"/>
    </row>
    <row r="33" spans="2:18" ht="14.25" thickBot="1">
      <c r="J33" s="37">
        <f>HLOOKUP(D4,J20:O21,2,0)</f>
        <v>1</v>
      </c>
      <c r="K33" s="11"/>
      <c r="N33" s="11"/>
    </row>
    <row r="34" spans="2:18" ht="14.25" thickBot="1">
      <c r="K34" s="52"/>
      <c r="L34" s="11"/>
      <c r="O34" s="11"/>
    </row>
    <row r="35" spans="2:18" s="54" customFormat="1" ht="54.75" thickBot="1">
      <c r="D35" s="57" t="s">
        <v>0</v>
      </c>
      <c r="E35" s="57" t="s">
        <v>1</v>
      </c>
      <c r="F35" s="57" t="s">
        <v>2</v>
      </c>
      <c r="G35" s="57" t="s">
        <v>3</v>
      </c>
      <c r="H35" s="57" t="s">
        <v>46</v>
      </c>
      <c r="I35" s="57" t="s">
        <v>47</v>
      </c>
      <c r="J35" s="57" t="s">
        <v>4</v>
      </c>
      <c r="K35" s="57" t="s">
        <v>5</v>
      </c>
      <c r="L35" s="57" t="s">
        <v>9</v>
      </c>
      <c r="M35" s="57" t="s">
        <v>8</v>
      </c>
      <c r="N35" s="57" t="s">
        <v>6</v>
      </c>
      <c r="O35" s="59" t="s">
        <v>7</v>
      </c>
      <c r="P35" s="57" t="s">
        <v>28</v>
      </c>
    </row>
    <row r="36" spans="2:18" ht="14.25" thickTop="1">
      <c r="B36" s="66" t="s">
        <v>79</v>
      </c>
      <c r="D36" s="38">
        <v>1</v>
      </c>
      <c r="E36" s="38">
        <v>2</v>
      </c>
      <c r="F36" s="38">
        <v>3</v>
      </c>
      <c r="G36" s="38">
        <v>4</v>
      </c>
      <c r="H36" s="38">
        <v>5</v>
      </c>
      <c r="I36" s="38">
        <v>6</v>
      </c>
      <c r="J36" s="38">
        <v>7</v>
      </c>
      <c r="K36" s="70">
        <v>8</v>
      </c>
      <c r="L36" s="70">
        <v>9</v>
      </c>
      <c r="M36" s="70">
        <v>10</v>
      </c>
      <c r="N36" s="70">
        <v>11</v>
      </c>
      <c r="O36" s="70">
        <v>12</v>
      </c>
      <c r="P36" s="70">
        <v>13</v>
      </c>
      <c r="Q36" s="38"/>
      <c r="R36" s="38"/>
    </row>
    <row r="37" spans="2:18">
      <c r="B37" s="53" t="s">
        <v>75</v>
      </c>
      <c r="C37" s="53">
        <v>1</v>
      </c>
      <c r="D37" s="71">
        <f>事務所!C10</f>
        <v>6.0000000000000001E-3</v>
      </c>
      <c r="E37" s="71">
        <f>事務所!D10</f>
        <v>6.0999999999999999E-2</v>
      </c>
      <c r="F37" s="71">
        <f>事務所!E10</f>
        <v>2.1999999999999999E-2</v>
      </c>
      <c r="G37" s="71">
        <f>事務所!F10</f>
        <v>6.0000000000000001E-3</v>
      </c>
      <c r="H37" s="71">
        <f>事務所!G10</f>
        <v>6.0000000000000001E-3</v>
      </c>
      <c r="I37" s="71">
        <f>事務所!H10</f>
        <v>6.0000000000000001E-3</v>
      </c>
      <c r="J37" s="71">
        <f>事務所!I10</f>
        <v>6.7000000000000004E-2</v>
      </c>
      <c r="K37" s="71">
        <f>事務所!J10</f>
        <v>2.7999999999999997E-2</v>
      </c>
      <c r="L37" s="71">
        <f>事務所!K10</f>
        <v>8.299999999999999E-2</v>
      </c>
      <c r="M37" s="71">
        <f>事務所!L10</f>
        <v>8.8999999999999996E-2</v>
      </c>
      <c r="N37" s="71">
        <f>事務所!M10</f>
        <v>3.0999999999999996E-2</v>
      </c>
      <c r="O37" s="71">
        <f>事務所!N10</f>
        <v>9.1999999999999998E-2</v>
      </c>
      <c r="P37" s="71">
        <f>事務所!O10</f>
        <v>1.2E-2</v>
      </c>
    </row>
    <row r="38" spans="2:18">
      <c r="B38" s="53" t="s">
        <v>76</v>
      </c>
      <c r="C38" s="53">
        <v>2</v>
      </c>
      <c r="D38" s="71">
        <f>老健!C10</f>
        <v>3.0000000000000001E-3</v>
      </c>
      <c r="E38" s="71">
        <f>老健!D10</f>
        <v>0.02</v>
      </c>
      <c r="F38" s="71">
        <f>老健!E10</f>
        <v>7.0000000000000001E-3</v>
      </c>
      <c r="G38" s="71">
        <f>老健!F10</f>
        <v>1E-3</v>
      </c>
      <c r="H38" s="71">
        <f>老健!G10</f>
        <v>1E-3</v>
      </c>
      <c r="I38" s="71">
        <f>老健!H10</f>
        <v>1E-3</v>
      </c>
      <c r="J38" s="71">
        <f>老健!I10</f>
        <v>2.3E-2</v>
      </c>
      <c r="K38" s="71">
        <f>老健!J10</f>
        <v>0.01</v>
      </c>
      <c r="L38" s="71">
        <f>老健!K10</f>
        <v>2.7E-2</v>
      </c>
      <c r="M38" s="71">
        <f>老健!L10</f>
        <v>0.03</v>
      </c>
      <c r="N38" s="71">
        <f>老健!M10</f>
        <v>1.0500000000000001E-2</v>
      </c>
      <c r="O38" s="71">
        <f>老健!N10</f>
        <v>3.0499999999999999E-2</v>
      </c>
      <c r="P38" s="71">
        <f>老健!O10</f>
        <v>4.0000000000000001E-3</v>
      </c>
    </row>
    <row r="39" spans="2:18">
      <c r="B39" s="53" t="s">
        <v>78</v>
      </c>
      <c r="C39" s="53">
        <v>3</v>
      </c>
      <c r="D39" s="113">
        <f>スポーツクラブ!C10</f>
        <v>4.0000000000000001E-3</v>
      </c>
      <c r="E39" s="113">
        <f>スポーツクラブ!D10</f>
        <v>2.1000000000000001E-2</v>
      </c>
      <c r="F39" s="113">
        <f>スポーツクラブ!E10</f>
        <v>8.0000000000000002E-3</v>
      </c>
      <c r="G39" s="113">
        <f>スポーツクラブ!F10</f>
        <v>1E-3</v>
      </c>
      <c r="H39" s="113">
        <f>スポーツクラブ!G10</f>
        <v>1E-3</v>
      </c>
      <c r="I39" s="113">
        <f>スポーツクラブ!H10</f>
        <v>1E-3</v>
      </c>
      <c r="J39" s="113">
        <f>スポーツクラブ!I10</f>
        <v>2.5000000000000001E-2</v>
      </c>
      <c r="K39" s="113">
        <f>スポーツクラブ!J10</f>
        <v>1.2E-2</v>
      </c>
      <c r="L39" s="113">
        <f>スポーツクラブ!K10</f>
        <v>2.9000000000000001E-2</v>
      </c>
      <c r="M39" s="113">
        <f>スポーツクラブ!L10</f>
        <v>3.3000000000000002E-2</v>
      </c>
      <c r="N39" s="113">
        <f>スポーツクラブ!M10</f>
        <v>1.2500000000000001E-2</v>
      </c>
      <c r="O39" s="113">
        <f>スポーツクラブ!N10</f>
        <v>3.3500000000000002E-2</v>
      </c>
      <c r="P39" s="113">
        <f>スポーツクラブ!O10</f>
        <v>5.0000000000000001E-3</v>
      </c>
    </row>
    <row r="40" spans="2:18">
      <c r="B40" s="53" t="s">
        <v>92</v>
      </c>
      <c r="C40" s="53">
        <v>4</v>
      </c>
      <c r="D40" s="139">
        <f>ホテル!C10</f>
        <v>6.0000000000000001E-3</v>
      </c>
      <c r="E40" s="193">
        <f>ホテル!D10</f>
        <v>6.0999999999999999E-2</v>
      </c>
      <c r="F40" s="193">
        <f>ホテル!E10</f>
        <v>2.1999999999999999E-2</v>
      </c>
      <c r="G40" s="193">
        <f>ホテル!F10</f>
        <v>6.0000000000000001E-3</v>
      </c>
      <c r="H40" s="193">
        <f>ホテル!G10</f>
        <v>6.0000000000000001E-3</v>
      </c>
      <c r="I40" s="193">
        <f>ホテル!H10</f>
        <v>6.0000000000000001E-3</v>
      </c>
      <c r="J40" s="193">
        <f>ホテル!I10</f>
        <v>6.7000000000000004E-2</v>
      </c>
      <c r="K40" s="193">
        <f>ホテル!J10</f>
        <v>2.7999999999999997E-2</v>
      </c>
      <c r="L40" s="193">
        <f>ホテル!K10</f>
        <v>8.299999999999999E-2</v>
      </c>
      <c r="M40" s="193">
        <f>ホテル!L10</f>
        <v>8.8999999999999996E-2</v>
      </c>
      <c r="N40" s="193">
        <f>ホテル!M10</f>
        <v>3.0999999999999996E-2</v>
      </c>
      <c r="O40" s="193">
        <f>ホテル!N10</f>
        <v>9.1999999999999998E-2</v>
      </c>
      <c r="P40" s="193">
        <f>ホテル!O10</f>
        <v>1.2E-2</v>
      </c>
    </row>
    <row r="41" spans="2:18">
      <c r="B41" s="53"/>
      <c r="C41" s="53">
        <v>5</v>
      </c>
      <c r="D41" s="139"/>
      <c r="E41" s="139"/>
      <c r="F41" s="139"/>
      <c r="G41" s="139"/>
      <c r="H41" s="139"/>
      <c r="I41" s="139"/>
      <c r="J41" s="139"/>
      <c r="K41" s="139"/>
      <c r="L41" s="140"/>
      <c r="M41" s="140"/>
      <c r="N41" s="140"/>
      <c r="O41" s="140"/>
      <c r="P41" s="140"/>
    </row>
    <row r="42" spans="2:18">
      <c r="B42" s="53"/>
      <c r="C42" s="53">
        <v>6</v>
      </c>
      <c r="D42" s="139"/>
      <c r="E42" s="139"/>
      <c r="F42" s="139"/>
      <c r="G42" s="139"/>
      <c r="H42" s="139"/>
      <c r="I42" s="139"/>
      <c r="J42" s="139"/>
      <c r="K42" s="139"/>
      <c r="L42" s="140"/>
      <c r="M42" s="140"/>
      <c r="N42" s="140"/>
      <c r="O42" s="140"/>
      <c r="P42" s="140"/>
    </row>
    <row r="43" spans="2:18">
      <c r="B43" s="53"/>
      <c r="C43" s="53">
        <v>7</v>
      </c>
      <c r="D43" s="139"/>
      <c r="E43" s="139"/>
      <c r="F43" s="139"/>
      <c r="G43" s="139"/>
      <c r="H43" s="139"/>
      <c r="I43" s="139"/>
      <c r="J43" s="139"/>
      <c r="K43" s="139"/>
      <c r="L43" s="140"/>
      <c r="M43" s="140"/>
      <c r="N43" s="140"/>
      <c r="O43" s="140"/>
      <c r="P43" s="140"/>
    </row>
    <row r="44" spans="2:18">
      <c r="B44" s="53"/>
      <c r="C44" s="53"/>
      <c r="D44" s="67"/>
      <c r="E44" s="67"/>
      <c r="F44" s="67"/>
      <c r="G44" s="67"/>
      <c r="H44" s="67"/>
      <c r="I44" s="67"/>
      <c r="J44" s="67"/>
      <c r="K44" s="67"/>
      <c r="L44" s="66"/>
      <c r="M44" s="66"/>
      <c r="N44" s="66"/>
      <c r="O44" s="66"/>
      <c r="P44" s="66"/>
    </row>
    <row r="45" spans="2:18">
      <c r="B45" s="53"/>
      <c r="C45" s="53"/>
      <c r="D45" s="67"/>
      <c r="E45" s="67"/>
      <c r="F45" s="67"/>
      <c r="G45" s="67"/>
      <c r="H45" s="67"/>
      <c r="I45" s="67"/>
      <c r="J45" s="67"/>
      <c r="K45" s="67"/>
      <c r="L45" s="66"/>
      <c r="M45" s="66"/>
      <c r="N45" s="66"/>
      <c r="O45" s="66"/>
      <c r="P45" s="66"/>
    </row>
    <row r="46" spans="2:18">
      <c r="B46" s="66" t="s">
        <v>80</v>
      </c>
      <c r="C46" s="54"/>
      <c r="D46" s="70">
        <v>1</v>
      </c>
      <c r="E46" s="70">
        <v>2</v>
      </c>
      <c r="F46" s="70">
        <v>3</v>
      </c>
      <c r="G46" s="70">
        <v>4</v>
      </c>
      <c r="H46" s="70">
        <v>5</v>
      </c>
      <c r="I46" s="70">
        <v>6</v>
      </c>
      <c r="J46" s="70">
        <v>7</v>
      </c>
      <c r="K46" s="70">
        <v>8</v>
      </c>
      <c r="L46" s="70">
        <v>9</v>
      </c>
      <c r="M46" s="70">
        <v>10</v>
      </c>
      <c r="N46" s="70">
        <v>11</v>
      </c>
      <c r="O46" s="70">
        <v>12</v>
      </c>
      <c r="P46" s="70">
        <v>13</v>
      </c>
    </row>
    <row r="47" spans="2:18">
      <c r="B47" s="53" t="s">
        <v>75</v>
      </c>
      <c r="C47" s="53">
        <v>1</v>
      </c>
      <c r="D47" s="71">
        <f>事務所!C12</f>
        <v>0.02</v>
      </c>
      <c r="E47" s="71">
        <f>事務所!D12</f>
        <v>0.05</v>
      </c>
      <c r="F47" s="71">
        <f>事務所!E12</f>
        <v>0.01</v>
      </c>
      <c r="G47" s="71">
        <f>事務所!F12</f>
        <v>0</v>
      </c>
      <c r="H47" s="71">
        <f>事務所!G12</f>
        <v>5.0000000000000001E-3</v>
      </c>
      <c r="I47" s="71">
        <f>事務所!H12</f>
        <v>0</v>
      </c>
      <c r="J47" s="71">
        <f>事務所!I12</f>
        <v>7.0000000000000007E-2</v>
      </c>
      <c r="K47" s="71">
        <f>事務所!J12</f>
        <v>0.03</v>
      </c>
      <c r="L47" s="71">
        <f>事務所!K12</f>
        <v>0.06</v>
      </c>
      <c r="M47" s="71">
        <f>事務所!L12</f>
        <v>0.08</v>
      </c>
      <c r="N47" s="71">
        <f>事務所!M12</f>
        <v>0.03</v>
      </c>
      <c r="O47" s="71">
        <f>事務所!N12</f>
        <v>0.08</v>
      </c>
      <c r="P47" s="71">
        <f>事務所!O12</f>
        <v>0.02</v>
      </c>
    </row>
    <row r="48" spans="2:18">
      <c r="B48" s="53" t="s">
        <v>76</v>
      </c>
      <c r="C48" s="53">
        <v>2</v>
      </c>
      <c r="D48" s="71">
        <f>老健!C12</f>
        <v>1.4999999999999999E-2</v>
      </c>
      <c r="E48" s="71">
        <f>老健!D12</f>
        <v>4.4999999999999998E-2</v>
      </c>
      <c r="F48" s="71">
        <f>老健!E12</f>
        <v>0.01</v>
      </c>
      <c r="G48" s="71">
        <f>老健!F12</f>
        <v>0</v>
      </c>
      <c r="H48" s="71">
        <f>老健!G12</f>
        <v>5.0000000000000001E-3</v>
      </c>
      <c r="I48" s="71">
        <f>老健!H12</f>
        <v>0</v>
      </c>
      <c r="J48" s="71">
        <f>老健!I12</f>
        <v>7.0000000000000007E-2</v>
      </c>
      <c r="K48" s="71">
        <f>老健!J12</f>
        <v>0.03</v>
      </c>
      <c r="L48" s="71">
        <f>老健!K12</f>
        <v>0.06</v>
      </c>
      <c r="M48" s="71">
        <f>老健!L12</f>
        <v>0.08</v>
      </c>
      <c r="N48" s="71">
        <f>老健!M12</f>
        <v>0.03</v>
      </c>
      <c r="O48" s="71">
        <f>老健!N12</f>
        <v>0.08</v>
      </c>
      <c r="P48" s="71">
        <f>老健!O12</f>
        <v>0.02</v>
      </c>
    </row>
    <row r="49" spans="2:16">
      <c r="B49" s="53" t="s">
        <v>78</v>
      </c>
      <c r="C49" s="53">
        <v>3</v>
      </c>
      <c r="D49" s="116">
        <f>スポーツクラブ!C12</f>
        <v>1.4999999999999999E-2</v>
      </c>
      <c r="E49" s="116">
        <f>スポーツクラブ!D12</f>
        <v>4.4999999999999998E-2</v>
      </c>
      <c r="F49" s="116">
        <f>スポーツクラブ!E12</f>
        <v>0.01</v>
      </c>
      <c r="G49" s="116">
        <f>スポーツクラブ!F12</f>
        <v>0</v>
      </c>
      <c r="H49" s="116">
        <f>スポーツクラブ!G12</f>
        <v>5.0000000000000001E-3</v>
      </c>
      <c r="I49" s="116">
        <f>スポーツクラブ!H12</f>
        <v>0</v>
      </c>
      <c r="J49" s="116">
        <f>スポーツクラブ!I12</f>
        <v>7.0000000000000007E-2</v>
      </c>
      <c r="K49" s="116">
        <f>スポーツクラブ!J12</f>
        <v>0.03</v>
      </c>
      <c r="L49" s="116">
        <f>スポーツクラブ!K12</f>
        <v>0.06</v>
      </c>
      <c r="M49" s="116">
        <f>スポーツクラブ!L12</f>
        <v>0.08</v>
      </c>
      <c r="N49" s="116">
        <f>スポーツクラブ!M12</f>
        <v>0.03</v>
      </c>
      <c r="O49" s="116">
        <f>スポーツクラブ!N12</f>
        <v>0.08</v>
      </c>
      <c r="P49" s="116">
        <f>スポーツクラブ!O12</f>
        <v>0.02</v>
      </c>
    </row>
    <row r="50" spans="2:16">
      <c r="B50" s="170" t="s">
        <v>92</v>
      </c>
      <c r="C50" s="53">
        <v>4</v>
      </c>
      <c r="D50" s="139">
        <f>ホテル!C12</f>
        <v>0.02</v>
      </c>
      <c r="E50" s="193">
        <f>ホテル!D12</f>
        <v>0.05</v>
      </c>
      <c r="F50" s="193">
        <f>ホテル!E12</f>
        <v>0.01</v>
      </c>
      <c r="G50" s="193">
        <f>ホテル!F12</f>
        <v>0</v>
      </c>
      <c r="H50" s="193">
        <f>ホテル!G12</f>
        <v>5.0000000000000001E-3</v>
      </c>
      <c r="I50" s="193">
        <f>ホテル!H12</f>
        <v>0</v>
      </c>
      <c r="J50" s="193">
        <f>ホテル!I12</f>
        <v>7.0000000000000007E-2</v>
      </c>
      <c r="K50" s="193">
        <f>ホテル!J12</f>
        <v>0.03</v>
      </c>
      <c r="L50" s="193">
        <f>ホテル!K12</f>
        <v>0.06</v>
      </c>
      <c r="M50" s="193">
        <f>ホテル!L12</f>
        <v>0.08</v>
      </c>
      <c r="N50" s="193">
        <f>ホテル!M12</f>
        <v>0.03</v>
      </c>
      <c r="O50" s="193">
        <f>ホテル!N12</f>
        <v>0.08</v>
      </c>
      <c r="P50" s="193">
        <f>ホテル!O12</f>
        <v>0.02</v>
      </c>
    </row>
    <row r="51" spans="2:16">
      <c r="B51" s="53"/>
      <c r="C51" s="53">
        <v>5</v>
      </c>
      <c r="D51" s="139"/>
      <c r="E51" s="139"/>
      <c r="F51" s="139"/>
      <c r="G51" s="139"/>
      <c r="H51" s="139"/>
      <c r="I51" s="139"/>
      <c r="J51" s="139"/>
      <c r="K51" s="139"/>
      <c r="L51" s="140"/>
      <c r="M51" s="140"/>
      <c r="N51" s="140"/>
      <c r="O51" s="140"/>
      <c r="P51" s="140"/>
    </row>
    <row r="52" spans="2:16">
      <c r="B52" s="53"/>
      <c r="C52" s="53">
        <v>6</v>
      </c>
      <c r="D52" s="139"/>
      <c r="E52" s="139"/>
      <c r="F52" s="139"/>
      <c r="G52" s="139"/>
      <c r="H52" s="139"/>
      <c r="I52" s="139"/>
      <c r="J52" s="139"/>
      <c r="K52" s="139"/>
      <c r="L52" s="140"/>
      <c r="M52" s="140"/>
      <c r="N52" s="140"/>
      <c r="O52" s="140"/>
      <c r="P52" s="140"/>
    </row>
    <row r="53" spans="2:16">
      <c r="B53" s="53"/>
      <c r="C53" s="53">
        <v>7</v>
      </c>
      <c r="D53" s="139"/>
      <c r="E53" s="139"/>
      <c r="F53" s="139"/>
      <c r="G53" s="139"/>
      <c r="H53" s="139"/>
      <c r="I53" s="139"/>
      <c r="J53" s="139"/>
      <c r="K53" s="139"/>
      <c r="L53" s="140"/>
      <c r="M53" s="140"/>
      <c r="N53" s="140"/>
      <c r="O53" s="140"/>
      <c r="P53" s="140"/>
    </row>
    <row r="56" spans="2:16" ht="41.25" thickBot="1">
      <c r="D56" s="74" t="s">
        <v>12</v>
      </c>
      <c r="E56" s="75" t="s">
        <v>49</v>
      </c>
      <c r="F56" s="76" t="s">
        <v>50</v>
      </c>
      <c r="G56" s="75" t="s">
        <v>13</v>
      </c>
      <c r="H56" s="75" t="s">
        <v>54</v>
      </c>
      <c r="I56" s="75"/>
    </row>
    <row r="57" spans="2:16" ht="14.25" thickTop="1">
      <c r="B57" s="66" t="s">
        <v>79</v>
      </c>
      <c r="C57" s="54"/>
      <c r="D57" s="70">
        <v>1</v>
      </c>
      <c r="E57" s="70">
        <v>2</v>
      </c>
      <c r="F57" s="70">
        <v>3</v>
      </c>
      <c r="G57" s="70">
        <v>4</v>
      </c>
      <c r="H57" s="70">
        <v>5</v>
      </c>
      <c r="I57" s="70">
        <v>6</v>
      </c>
    </row>
    <row r="58" spans="2:16">
      <c r="B58" s="53" t="s">
        <v>75</v>
      </c>
      <c r="C58" s="53">
        <v>1</v>
      </c>
      <c r="D58" s="113">
        <f>事務所!C15</f>
        <v>0</v>
      </c>
      <c r="E58" s="113">
        <f>事務所!D15</f>
        <v>0.22</v>
      </c>
      <c r="F58" s="113">
        <f>事務所!E15</f>
        <v>0</v>
      </c>
      <c r="G58" s="113">
        <f>事務所!F15</f>
        <v>3.6999999999999998E-2</v>
      </c>
      <c r="H58" s="113">
        <f>事務所!G15</f>
        <v>5.8000000000000003E-2</v>
      </c>
      <c r="I58" s="113">
        <f>事務所!H15</f>
        <v>0.1</v>
      </c>
    </row>
    <row r="59" spans="2:16">
      <c r="B59" s="53" t="s">
        <v>76</v>
      </c>
      <c r="C59" s="53">
        <v>2</v>
      </c>
      <c r="D59" s="113">
        <f>老健!C15</f>
        <v>0</v>
      </c>
      <c r="E59" s="113">
        <f>老健!D15</f>
        <v>0.18</v>
      </c>
      <c r="F59" s="113">
        <f>老健!E15</f>
        <v>0</v>
      </c>
      <c r="G59" s="113">
        <f>老健!F15</f>
        <v>3.6999999999999998E-2</v>
      </c>
      <c r="H59" s="113">
        <f>老健!G15</f>
        <v>5.8000000000000003E-2</v>
      </c>
      <c r="I59" s="113">
        <f>老健!H15</f>
        <v>0</v>
      </c>
    </row>
    <row r="60" spans="2:16">
      <c r="B60" s="53" t="s">
        <v>78</v>
      </c>
      <c r="C60" s="53">
        <v>3</v>
      </c>
      <c r="D60" s="113">
        <f>スポーツクラブ!C15</f>
        <v>0</v>
      </c>
      <c r="E60" s="113">
        <f>スポーツクラブ!D15</f>
        <v>0.19</v>
      </c>
      <c r="F60" s="113">
        <f>スポーツクラブ!E15</f>
        <v>0</v>
      </c>
      <c r="G60" s="113">
        <f>スポーツクラブ!F15</f>
        <v>3.6999999999999998E-2</v>
      </c>
      <c r="H60" s="113">
        <f>スポーツクラブ!G15</f>
        <v>5.8000000000000003E-2</v>
      </c>
      <c r="I60" s="113">
        <f>スポーツクラブ!H15</f>
        <v>0</v>
      </c>
    </row>
    <row r="61" spans="2:16">
      <c r="B61" s="170" t="s">
        <v>92</v>
      </c>
      <c r="C61" s="53">
        <v>4</v>
      </c>
      <c r="D61" s="193">
        <f>ホテル!C15</f>
        <v>0</v>
      </c>
      <c r="E61" s="193">
        <f>ホテル!D15</f>
        <v>0.22</v>
      </c>
      <c r="F61" s="193">
        <f>ホテル!E15</f>
        <v>0</v>
      </c>
      <c r="G61" s="193">
        <f>ホテル!F15</f>
        <v>3.6999999999999998E-2</v>
      </c>
      <c r="H61" s="193">
        <f>ホテル!G15</f>
        <v>5.8000000000000003E-2</v>
      </c>
      <c r="I61" s="193">
        <f>ホテル!H15</f>
        <v>0.1</v>
      </c>
    </row>
    <row r="62" spans="2:16">
      <c r="B62" s="53"/>
      <c r="C62" s="53">
        <v>5</v>
      </c>
      <c r="D62" s="141"/>
      <c r="E62" s="141"/>
      <c r="F62" s="141"/>
      <c r="G62" s="141"/>
      <c r="H62" s="141"/>
      <c r="I62" s="141"/>
    </row>
    <row r="63" spans="2:16">
      <c r="B63" s="53"/>
      <c r="C63" s="53">
        <v>6</v>
      </c>
      <c r="D63" s="141"/>
      <c r="E63" s="141"/>
      <c r="F63" s="141"/>
      <c r="G63" s="141"/>
      <c r="H63" s="141"/>
      <c r="I63" s="141"/>
    </row>
    <row r="64" spans="2:16">
      <c r="B64" s="53"/>
      <c r="C64" s="53">
        <v>7</v>
      </c>
      <c r="D64" s="141"/>
      <c r="E64" s="141"/>
      <c r="F64" s="141"/>
      <c r="G64" s="141"/>
      <c r="H64" s="141"/>
      <c r="I64" s="141"/>
    </row>
    <row r="65" spans="2:13">
      <c r="B65" s="53"/>
      <c r="C65" s="53"/>
    </row>
    <row r="66" spans="2:13">
      <c r="B66" s="53"/>
      <c r="C66" s="53"/>
    </row>
    <row r="67" spans="2:13">
      <c r="B67" s="66" t="s">
        <v>80</v>
      </c>
      <c r="C67" s="54"/>
      <c r="D67" s="70">
        <v>1</v>
      </c>
      <c r="E67" s="70">
        <v>2</v>
      </c>
      <c r="F67" s="70">
        <v>3</v>
      </c>
      <c r="G67" s="70">
        <v>4</v>
      </c>
      <c r="H67" s="70">
        <v>5</v>
      </c>
      <c r="I67" s="70">
        <v>6</v>
      </c>
    </row>
    <row r="68" spans="2:13">
      <c r="B68" s="53" t="s">
        <v>75</v>
      </c>
      <c r="C68" s="53">
        <v>1</v>
      </c>
      <c r="D68" s="113">
        <f>事務所!C17</f>
        <v>0</v>
      </c>
      <c r="E68" s="113">
        <f>事務所!D17</f>
        <v>0</v>
      </c>
      <c r="F68" s="113">
        <f>事務所!E17</f>
        <v>0</v>
      </c>
      <c r="G68" s="113">
        <f>事務所!F17</f>
        <v>0.14000000000000001</v>
      </c>
      <c r="H68" s="113">
        <f>事務所!G17</f>
        <v>0.14499999999999999</v>
      </c>
      <c r="I68" s="113">
        <f>事務所!H17</f>
        <v>0.1</v>
      </c>
    </row>
    <row r="69" spans="2:13">
      <c r="B69" s="53" t="s">
        <v>76</v>
      </c>
      <c r="C69" s="53">
        <v>2</v>
      </c>
      <c r="D69" s="113">
        <f>老健!C17</f>
        <v>0</v>
      </c>
      <c r="E69" s="113">
        <f>老健!D17</f>
        <v>0</v>
      </c>
      <c r="F69" s="113">
        <f>老健!E17</f>
        <v>0</v>
      </c>
      <c r="G69" s="113">
        <f>老健!F17</f>
        <v>0.15</v>
      </c>
      <c r="H69" s="113">
        <f>老健!G17</f>
        <v>0.16</v>
      </c>
      <c r="I69" s="113">
        <f>老健!H17</f>
        <v>0</v>
      </c>
    </row>
    <row r="70" spans="2:13">
      <c r="B70" s="53" t="s">
        <v>78</v>
      </c>
      <c r="C70" s="53">
        <v>3</v>
      </c>
      <c r="D70" s="113">
        <f>スポーツクラブ!C17</f>
        <v>0</v>
      </c>
      <c r="E70" s="113">
        <f>スポーツクラブ!D17</f>
        <v>0</v>
      </c>
      <c r="F70" s="113">
        <f>スポーツクラブ!E17</f>
        <v>0</v>
      </c>
      <c r="G70" s="113">
        <f>スポーツクラブ!F17</f>
        <v>0.15</v>
      </c>
      <c r="H70" s="113">
        <f>スポーツクラブ!G17</f>
        <v>0.16</v>
      </c>
      <c r="I70" s="113">
        <f>スポーツクラブ!H17</f>
        <v>0</v>
      </c>
    </row>
    <row r="71" spans="2:13">
      <c r="B71" s="170" t="s">
        <v>92</v>
      </c>
      <c r="C71" s="53">
        <v>4</v>
      </c>
      <c r="D71" s="193">
        <f>ホテル!C17</f>
        <v>0</v>
      </c>
      <c r="E71" s="193">
        <f>ホテル!D17</f>
        <v>0</v>
      </c>
      <c r="F71" s="193">
        <f>ホテル!E17</f>
        <v>0</v>
      </c>
      <c r="G71" s="193">
        <f>ホテル!F17</f>
        <v>0.14000000000000001</v>
      </c>
      <c r="H71" s="193">
        <f>ホテル!G17</f>
        <v>0.14499999999999999</v>
      </c>
      <c r="I71" s="193">
        <f>ホテル!H17</f>
        <v>0.1</v>
      </c>
    </row>
    <row r="72" spans="2:13">
      <c r="B72" s="53"/>
      <c r="C72" s="53">
        <v>5</v>
      </c>
      <c r="D72" s="141"/>
      <c r="E72" s="141"/>
      <c r="F72" s="141"/>
      <c r="G72" s="141"/>
      <c r="H72" s="141"/>
      <c r="I72" s="141"/>
    </row>
    <row r="73" spans="2:13">
      <c r="B73" s="53"/>
      <c r="C73" s="53">
        <v>6</v>
      </c>
      <c r="D73" s="141"/>
      <c r="E73" s="141"/>
      <c r="F73" s="141"/>
      <c r="G73" s="141"/>
      <c r="H73" s="141"/>
      <c r="I73" s="141"/>
    </row>
    <row r="74" spans="2:13">
      <c r="B74" s="53"/>
      <c r="C74" s="53">
        <v>7</v>
      </c>
      <c r="D74" s="141"/>
      <c r="E74" s="141"/>
      <c r="F74" s="141"/>
      <c r="G74" s="141"/>
      <c r="H74" s="141"/>
      <c r="I74" s="141"/>
    </row>
    <row r="76" spans="2:13" ht="14.25" thickBot="1"/>
    <row r="77" spans="2:13" ht="54.75" thickBot="1">
      <c r="D77" s="57" t="s">
        <v>12</v>
      </c>
      <c r="E77" s="57" t="s">
        <v>51</v>
      </c>
      <c r="F77" s="57" t="s">
        <v>52</v>
      </c>
      <c r="G77" s="57"/>
      <c r="H77" s="57" t="s">
        <v>17</v>
      </c>
      <c r="I77" s="57" t="s">
        <v>18</v>
      </c>
      <c r="J77" s="57" t="s">
        <v>19</v>
      </c>
      <c r="K77" s="57" t="s">
        <v>21</v>
      </c>
      <c r="L77" s="57" t="s">
        <v>53</v>
      </c>
      <c r="M77" s="57" t="s">
        <v>20</v>
      </c>
    </row>
    <row r="78" spans="2:13" ht="14.25" thickTop="1">
      <c r="B78" s="66" t="s">
        <v>79</v>
      </c>
      <c r="C78" s="54"/>
      <c r="D78" s="70">
        <v>1</v>
      </c>
      <c r="E78" s="70">
        <v>2</v>
      </c>
      <c r="F78" s="70">
        <v>3</v>
      </c>
      <c r="G78" s="70">
        <v>4</v>
      </c>
      <c r="H78" s="70">
        <v>5</v>
      </c>
      <c r="I78" s="70">
        <v>6</v>
      </c>
      <c r="J78" s="70">
        <v>7</v>
      </c>
      <c r="K78" s="70">
        <v>8</v>
      </c>
      <c r="L78" s="70">
        <v>9</v>
      </c>
      <c r="M78" s="70">
        <v>10</v>
      </c>
    </row>
    <row r="79" spans="2:13">
      <c r="B79" s="53" t="s">
        <v>75</v>
      </c>
      <c r="C79" s="53">
        <v>1</v>
      </c>
      <c r="D79" s="71">
        <f>事務所!C20</f>
        <v>0</v>
      </c>
      <c r="E79" s="71">
        <f>事務所!D20</f>
        <v>0.14000000000000001</v>
      </c>
      <c r="F79" s="71">
        <f>事務所!E20</f>
        <v>0.14000000000000001</v>
      </c>
      <c r="G79" s="71">
        <f>事務所!F20</f>
        <v>0</v>
      </c>
      <c r="H79" s="71">
        <f>事務所!G20</f>
        <v>3.8999999999999998E-3</v>
      </c>
      <c r="I79" s="71">
        <f>事務所!H20</f>
        <v>5.1000000000000004E-3</v>
      </c>
      <c r="J79" s="71">
        <f>事務所!I20</f>
        <v>0.05</v>
      </c>
      <c r="K79" s="71">
        <f>事務所!J20</f>
        <v>8.5300000000000001E-2</v>
      </c>
      <c r="L79" s="71">
        <f>事務所!K20</f>
        <v>0.03</v>
      </c>
      <c r="M79" s="71">
        <f>事務所!L20</f>
        <v>9.3700000000000006E-2</v>
      </c>
    </row>
    <row r="80" spans="2:13">
      <c r="B80" s="53" t="s">
        <v>76</v>
      </c>
      <c r="C80" s="53">
        <v>2</v>
      </c>
      <c r="D80" s="71">
        <f>老健!C20</f>
        <v>0</v>
      </c>
      <c r="E80" s="71">
        <f>老健!D20</f>
        <v>7.0000000000000007E-2</v>
      </c>
      <c r="F80" s="71">
        <f>老健!E20</f>
        <v>7.0000000000000007E-2</v>
      </c>
      <c r="G80" s="71">
        <f>老健!F20</f>
        <v>0</v>
      </c>
      <c r="H80" s="71">
        <f>老健!G20</f>
        <v>2E-3</v>
      </c>
      <c r="I80" s="71">
        <f>老健!H20</f>
        <v>3.0000000000000001E-3</v>
      </c>
      <c r="J80" s="71">
        <f>老健!I20</f>
        <v>1.0999999999999999E-2</v>
      </c>
      <c r="K80" s="71">
        <f>老健!J20</f>
        <v>4.2999999999999997E-2</v>
      </c>
      <c r="L80" s="71">
        <f>老健!K20</f>
        <v>1.4999999999999999E-2</v>
      </c>
      <c r="M80" s="71">
        <f>老健!L20</f>
        <v>4.7E-2</v>
      </c>
    </row>
    <row r="81" spans="2:13">
      <c r="B81" s="53" t="s">
        <v>78</v>
      </c>
      <c r="C81" s="53">
        <v>3</v>
      </c>
      <c r="D81" s="113">
        <f>スポーツクラブ!C20</f>
        <v>0</v>
      </c>
      <c r="E81" s="113">
        <f>スポーツクラブ!D20</f>
        <v>0.08</v>
      </c>
      <c r="F81" s="113">
        <f>スポーツクラブ!E20</f>
        <v>0</v>
      </c>
      <c r="G81" s="113">
        <f>スポーツクラブ!F20</f>
        <v>0</v>
      </c>
      <c r="H81" s="113">
        <f>スポーツクラブ!G20</f>
        <v>2E-3</v>
      </c>
      <c r="I81" s="113">
        <f>スポーツクラブ!H20</f>
        <v>3.0000000000000001E-3</v>
      </c>
      <c r="J81" s="113">
        <f>スポーツクラブ!I20</f>
        <v>1.0999999999999999E-2</v>
      </c>
      <c r="K81" s="113">
        <f>スポーツクラブ!J20</f>
        <v>4.2999999999999997E-2</v>
      </c>
      <c r="L81" s="113">
        <f>スポーツクラブ!K20</f>
        <v>1.4999999999999999E-2</v>
      </c>
      <c r="M81" s="113">
        <f>スポーツクラブ!L20</f>
        <v>4.7E-2</v>
      </c>
    </row>
    <row r="82" spans="2:13">
      <c r="B82" s="170" t="s">
        <v>92</v>
      </c>
      <c r="C82" s="53">
        <v>4</v>
      </c>
      <c r="D82" s="193">
        <f>ホテル!C20</f>
        <v>0</v>
      </c>
      <c r="E82" s="193">
        <f>ホテル!D20</f>
        <v>7.0000000000000007E-2</v>
      </c>
      <c r="F82" s="193">
        <f>ホテル!E20</f>
        <v>7.0000000000000007E-2</v>
      </c>
      <c r="G82" s="193">
        <f>ホテル!F20</f>
        <v>0</v>
      </c>
      <c r="H82" s="193">
        <f>ホテル!G20</f>
        <v>2E-3</v>
      </c>
      <c r="I82" s="193">
        <f>ホテル!H20</f>
        <v>3.0000000000000001E-3</v>
      </c>
      <c r="J82" s="193">
        <f>ホテル!I20</f>
        <v>1.0999999999999999E-2</v>
      </c>
      <c r="K82" s="193">
        <f>ホテル!J20</f>
        <v>4.2999999999999997E-2</v>
      </c>
      <c r="L82" s="193">
        <f>ホテル!K20</f>
        <v>1.4999999999999999E-2</v>
      </c>
      <c r="M82" s="193">
        <f>ホテル!L20</f>
        <v>4.7E-2</v>
      </c>
    </row>
    <row r="83" spans="2:13">
      <c r="B83" s="53"/>
      <c r="C83" s="53">
        <v>5</v>
      </c>
      <c r="D83" s="141"/>
      <c r="E83" s="141"/>
      <c r="F83" s="141"/>
      <c r="G83" s="141"/>
      <c r="H83" s="141"/>
      <c r="I83" s="141"/>
      <c r="J83" s="141"/>
      <c r="K83" s="141"/>
      <c r="L83" s="141"/>
      <c r="M83" s="141"/>
    </row>
    <row r="84" spans="2:13">
      <c r="B84" s="53"/>
      <c r="C84" s="53">
        <v>6</v>
      </c>
      <c r="D84" s="141"/>
      <c r="E84" s="141"/>
      <c r="F84" s="141"/>
      <c r="G84" s="141"/>
      <c r="H84" s="141"/>
      <c r="I84" s="141"/>
      <c r="J84" s="141"/>
      <c r="K84" s="141"/>
      <c r="L84" s="141"/>
      <c r="M84" s="141"/>
    </row>
    <row r="85" spans="2:13">
      <c r="B85" s="53"/>
      <c r="C85" s="53">
        <v>7</v>
      </c>
      <c r="D85" s="141"/>
      <c r="E85" s="141"/>
      <c r="F85" s="141"/>
      <c r="G85" s="141"/>
      <c r="H85" s="141"/>
      <c r="I85" s="141"/>
      <c r="J85" s="141"/>
      <c r="K85" s="141"/>
      <c r="L85" s="141"/>
      <c r="M85" s="141"/>
    </row>
    <row r="86" spans="2:13">
      <c r="B86" s="53"/>
      <c r="C86" s="53"/>
    </row>
    <row r="87" spans="2:13">
      <c r="B87" s="53"/>
      <c r="C87" s="53"/>
    </row>
    <row r="88" spans="2:13">
      <c r="B88" s="66" t="s">
        <v>80</v>
      </c>
      <c r="C88" s="54"/>
      <c r="D88" s="70">
        <v>1</v>
      </c>
      <c r="E88" s="70">
        <v>2</v>
      </c>
      <c r="F88" s="70">
        <v>3</v>
      </c>
      <c r="G88" s="70">
        <v>4</v>
      </c>
      <c r="H88" s="70">
        <v>5</v>
      </c>
      <c r="I88" s="70">
        <v>6</v>
      </c>
      <c r="J88" s="70">
        <v>7</v>
      </c>
      <c r="K88" s="70">
        <v>8</v>
      </c>
      <c r="L88" s="70">
        <v>9</v>
      </c>
      <c r="M88" s="70">
        <v>10</v>
      </c>
    </row>
    <row r="89" spans="2:13">
      <c r="B89" s="53" t="s">
        <v>75</v>
      </c>
      <c r="C89" s="53">
        <v>1</v>
      </c>
      <c r="D89" s="142">
        <f>事務所!C22</f>
        <v>0</v>
      </c>
      <c r="E89" s="142">
        <f>事務所!D22</f>
        <v>0</v>
      </c>
      <c r="F89" s="142">
        <f>事務所!E22</f>
        <v>0</v>
      </c>
      <c r="G89" s="142">
        <f>事務所!F22</f>
        <v>0</v>
      </c>
      <c r="H89" s="142">
        <f>事務所!G22</f>
        <v>0.03</v>
      </c>
      <c r="I89" s="142">
        <f>事務所!H22</f>
        <v>0.03</v>
      </c>
      <c r="J89" s="142">
        <f>事務所!I22</f>
        <v>0.03</v>
      </c>
      <c r="K89" s="142">
        <f>事務所!J22</f>
        <v>0.04</v>
      </c>
      <c r="L89" s="142">
        <f>事務所!K22</f>
        <v>0.05</v>
      </c>
      <c r="M89" s="142">
        <f>事務所!L22</f>
        <v>0.06</v>
      </c>
    </row>
    <row r="90" spans="2:13">
      <c r="B90" s="53" t="s">
        <v>76</v>
      </c>
      <c r="C90" s="53">
        <v>2</v>
      </c>
      <c r="D90" s="142">
        <f>老健!C22</f>
        <v>0</v>
      </c>
      <c r="E90" s="142">
        <f>老健!D22</f>
        <v>0</v>
      </c>
      <c r="F90" s="142">
        <f>老健!E22</f>
        <v>0</v>
      </c>
      <c r="G90" s="142">
        <f>老健!F22</f>
        <v>0</v>
      </c>
      <c r="H90" s="142">
        <f>老健!G22</f>
        <v>0.03</v>
      </c>
      <c r="I90" s="142">
        <f>老健!H22</f>
        <v>0.03</v>
      </c>
      <c r="J90" s="142">
        <f>老健!I22</f>
        <v>0.03</v>
      </c>
      <c r="K90" s="142">
        <f>老健!J22</f>
        <v>0.04</v>
      </c>
      <c r="L90" s="142">
        <f>老健!K22</f>
        <v>0.05</v>
      </c>
      <c r="M90" s="142">
        <f>老健!L22</f>
        <v>0.06</v>
      </c>
    </row>
    <row r="91" spans="2:13">
      <c r="B91" s="53" t="s">
        <v>78</v>
      </c>
      <c r="C91" s="53">
        <v>3</v>
      </c>
      <c r="D91" s="128">
        <f>スポーツクラブ!C22</f>
        <v>0</v>
      </c>
      <c r="E91" s="128">
        <f>スポーツクラブ!D22</f>
        <v>0</v>
      </c>
      <c r="F91" s="128">
        <f>スポーツクラブ!E22</f>
        <v>0</v>
      </c>
      <c r="G91" s="128">
        <f>スポーツクラブ!F22</f>
        <v>0</v>
      </c>
      <c r="H91" s="128">
        <f>スポーツクラブ!G22</f>
        <v>0.03</v>
      </c>
      <c r="I91" s="128">
        <f>スポーツクラブ!H22</f>
        <v>0.03</v>
      </c>
      <c r="J91" s="128">
        <f>スポーツクラブ!I22</f>
        <v>0.03</v>
      </c>
      <c r="K91" s="128">
        <f>スポーツクラブ!J22</f>
        <v>0.04</v>
      </c>
      <c r="L91" s="128">
        <f>スポーツクラブ!K22</f>
        <v>0.05</v>
      </c>
      <c r="M91" s="128">
        <f>スポーツクラブ!L22</f>
        <v>0.06</v>
      </c>
    </row>
    <row r="92" spans="2:13">
      <c r="B92" s="170" t="s">
        <v>92</v>
      </c>
      <c r="C92" s="53">
        <v>4</v>
      </c>
      <c r="D92" s="166">
        <f>ホテル!C22</f>
        <v>0</v>
      </c>
      <c r="E92" s="166">
        <f>ホテル!D22</f>
        <v>0</v>
      </c>
      <c r="F92" s="166">
        <f>ホテル!E22</f>
        <v>0</v>
      </c>
      <c r="G92" s="166">
        <f>ホテル!F22</f>
        <v>0</v>
      </c>
      <c r="H92" s="166">
        <f>ホテル!G22</f>
        <v>0.03</v>
      </c>
      <c r="I92" s="166">
        <f>ホテル!H22</f>
        <v>0.03</v>
      </c>
      <c r="J92" s="166">
        <f>ホテル!I22</f>
        <v>0.03</v>
      </c>
      <c r="K92" s="166">
        <f>ホテル!J22</f>
        <v>0.04</v>
      </c>
      <c r="L92" s="166">
        <f>ホテル!K22</f>
        <v>0.05</v>
      </c>
      <c r="M92" s="166">
        <f>ホテル!L22</f>
        <v>0.06</v>
      </c>
    </row>
    <row r="93" spans="2:13">
      <c r="B93" s="53"/>
      <c r="C93" s="53">
        <v>5</v>
      </c>
      <c r="D93" s="141"/>
      <c r="E93" s="141"/>
      <c r="F93" s="141"/>
      <c r="G93" s="141"/>
      <c r="H93" s="141"/>
      <c r="I93" s="141"/>
      <c r="J93" s="141"/>
      <c r="K93" s="141"/>
      <c r="L93" s="141"/>
      <c r="M93" s="141"/>
    </row>
    <row r="94" spans="2:13">
      <c r="B94" s="53"/>
      <c r="C94" s="53">
        <v>6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</row>
    <row r="95" spans="2:13">
      <c r="B95" s="53"/>
      <c r="C95" s="53">
        <v>7</v>
      </c>
      <c r="D95" s="141"/>
      <c r="E95" s="141"/>
      <c r="F95" s="141"/>
      <c r="G95" s="141"/>
      <c r="H95" s="141"/>
      <c r="I95" s="141"/>
      <c r="J95" s="141"/>
      <c r="K95" s="141"/>
      <c r="L95" s="141"/>
      <c r="M95" s="141"/>
    </row>
    <row r="97" spans="2:5" ht="14.25" thickBot="1"/>
    <row r="98" spans="2:5" ht="14.25" thickBot="1">
      <c r="D98" s="57" t="s">
        <v>12</v>
      </c>
      <c r="E98" s="57" t="s">
        <v>22</v>
      </c>
    </row>
    <row r="99" spans="2:5" ht="14.25" thickTop="1">
      <c r="B99" s="66" t="s">
        <v>79</v>
      </c>
      <c r="C99" s="54"/>
      <c r="D99" s="70">
        <v>1</v>
      </c>
      <c r="E99" s="70">
        <v>2</v>
      </c>
    </row>
    <row r="100" spans="2:5">
      <c r="B100" s="53" t="s">
        <v>75</v>
      </c>
      <c r="C100" s="53">
        <v>1</v>
      </c>
      <c r="D100" s="71">
        <f>事務所!L15</f>
        <v>0</v>
      </c>
      <c r="E100" s="71">
        <f>事務所!M15</f>
        <v>0.01</v>
      </c>
    </row>
    <row r="101" spans="2:5">
      <c r="B101" s="53" t="s">
        <v>76</v>
      </c>
      <c r="C101" s="53">
        <v>2</v>
      </c>
      <c r="D101" s="71">
        <f>老健!L15</f>
        <v>0</v>
      </c>
      <c r="E101" s="71">
        <f>老健!M15</f>
        <v>0.08</v>
      </c>
    </row>
    <row r="102" spans="2:5">
      <c r="B102" s="53" t="s">
        <v>78</v>
      </c>
      <c r="C102" s="53">
        <v>3</v>
      </c>
      <c r="D102" s="113">
        <f>スポーツクラブ!L15</f>
        <v>0</v>
      </c>
      <c r="E102" s="113">
        <f>スポーツクラブ!M15</f>
        <v>0.08</v>
      </c>
    </row>
    <row r="103" spans="2:5">
      <c r="B103" s="170" t="s">
        <v>92</v>
      </c>
      <c r="C103" s="53">
        <v>4</v>
      </c>
      <c r="D103" s="193">
        <f>ホテル!L15</f>
        <v>0</v>
      </c>
      <c r="E103" s="193">
        <f>ホテル!M15</f>
        <v>0.08</v>
      </c>
    </row>
    <row r="104" spans="2:5">
      <c r="B104" s="53"/>
      <c r="C104" s="53">
        <v>5</v>
      </c>
      <c r="D104" s="141"/>
      <c r="E104" s="141"/>
    </row>
    <row r="105" spans="2:5">
      <c r="B105" s="53"/>
      <c r="C105" s="53">
        <v>6</v>
      </c>
      <c r="D105" s="141"/>
      <c r="E105" s="141"/>
    </row>
    <row r="106" spans="2:5">
      <c r="B106" s="53"/>
      <c r="C106" s="53">
        <v>7</v>
      </c>
      <c r="D106" s="141"/>
      <c r="E106" s="141"/>
    </row>
    <row r="107" spans="2:5">
      <c r="B107" s="53"/>
      <c r="C107" s="53"/>
    </row>
    <row r="108" spans="2:5">
      <c r="B108" s="53"/>
      <c r="C108" s="53"/>
    </row>
    <row r="109" spans="2:5">
      <c r="B109" s="66" t="s">
        <v>80</v>
      </c>
      <c r="C109" s="54"/>
      <c r="D109" s="70">
        <v>1</v>
      </c>
      <c r="E109" s="70">
        <v>2</v>
      </c>
    </row>
    <row r="110" spans="2:5">
      <c r="B110" s="53" t="s">
        <v>75</v>
      </c>
      <c r="C110" s="53">
        <v>1</v>
      </c>
      <c r="D110" s="71">
        <f>事務所!L17</f>
        <v>0</v>
      </c>
      <c r="E110" s="71">
        <f>事務所!M17</f>
        <v>0</v>
      </c>
    </row>
    <row r="111" spans="2:5">
      <c r="B111" s="53" t="s">
        <v>76</v>
      </c>
      <c r="C111" s="53">
        <v>2</v>
      </c>
      <c r="D111" s="71">
        <f>老健!L17</f>
        <v>0</v>
      </c>
      <c r="E111" s="71">
        <f>老健!M17</f>
        <v>0.2</v>
      </c>
    </row>
    <row r="112" spans="2:5">
      <c r="B112" s="53" t="s">
        <v>78</v>
      </c>
      <c r="C112" s="53">
        <v>3</v>
      </c>
      <c r="D112" s="113">
        <f>スポーツクラブ!L17</f>
        <v>0</v>
      </c>
      <c r="E112" s="113">
        <f>スポーツクラブ!M17</f>
        <v>0.2</v>
      </c>
    </row>
    <row r="113" spans="2:10">
      <c r="B113" s="170" t="s">
        <v>92</v>
      </c>
      <c r="C113" s="53">
        <v>4</v>
      </c>
      <c r="D113" s="196">
        <f>ホテル!L17</f>
        <v>0</v>
      </c>
      <c r="E113" s="196">
        <f>ホテル!M17</f>
        <v>0.2</v>
      </c>
    </row>
    <row r="114" spans="2:10">
      <c r="B114" s="53"/>
      <c r="C114" s="53">
        <v>5</v>
      </c>
      <c r="D114" s="141"/>
      <c r="E114" s="141"/>
    </row>
    <row r="115" spans="2:10">
      <c r="B115" s="53"/>
      <c r="C115" s="53">
        <v>6</v>
      </c>
      <c r="D115" s="141"/>
      <c r="E115" s="141"/>
    </row>
    <row r="116" spans="2:10">
      <c r="B116" s="53"/>
      <c r="C116" s="53">
        <v>7</v>
      </c>
      <c r="D116" s="141"/>
      <c r="E116" s="141"/>
    </row>
    <row r="118" spans="2:10" ht="14.25" thickBot="1"/>
    <row r="119" spans="2:10" ht="27.75" thickBot="1">
      <c r="D119" s="57" t="s">
        <v>12</v>
      </c>
      <c r="E119" s="57" t="s">
        <v>25</v>
      </c>
      <c r="F119" s="57" t="s">
        <v>26</v>
      </c>
      <c r="G119" s="57" t="s">
        <v>27</v>
      </c>
      <c r="H119" s="57"/>
      <c r="I119" s="57"/>
      <c r="J119" s="57" t="s">
        <v>32</v>
      </c>
    </row>
    <row r="120" spans="2:10" ht="14.25" thickTop="1">
      <c r="B120" s="66" t="s">
        <v>79</v>
      </c>
      <c r="C120" s="54"/>
      <c r="D120" s="70">
        <v>1</v>
      </c>
      <c r="E120" s="70">
        <v>2</v>
      </c>
      <c r="F120" s="70">
        <v>3</v>
      </c>
      <c r="G120" s="70">
        <v>4</v>
      </c>
      <c r="H120" s="70">
        <v>5</v>
      </c>
      <c r="I120" s="70">
        <v>6</v>
      </c>
      <c r="J120" s="70">
        <v>7</v>
      </c>
    </row>
    <row r="121" spans="2:10">
      <c r="B121" s="53" t="s">
        <v>75</v>
      </c>
      <c r="C121" s="53">
        <v>1</v>
      </c>
      <c r="D121" s="71">
        <f>事務所!C25</f>
        <v>0</v>
      </c>
      <c r="E121" s="71">
        <f>事務所!D25</f>
        <v>0</v>
      </c>
      <c r="F121" s="71">
        <f>事務所!E25</f>
        <v>0</v>
      </c>
      <c r="G121" s="71">
        <f>事務所!F25</f>
        <v>5.0000000000000001E-3</v>
      </c>
      <c r="H121" s="71">
        <f>事務所!G25</f>
        <v>0</v>
      </c>
      <c r="I121" s="71">
        <f>事務所!H25</f>
        <v>0</v>
      </c>
      <c r="J121" s="71">
        <f>事務所!I25</f>
        <v>0</v>
      </c>
    </row>
    <row r="122" spans="2:10">
      <c r="B122" s="53" t="s">
        <v>76</v>
      </c>
      <c r="C122" s="53">
        <v>2</v>
      </c>
      <c r="D122" s="71">
        <f>老健!C25</f>
        <v>0</v>
      </c>
      <c r="E122" s="71">
        <f>老健!D25</f>
        <v>0.11</v>
      </c>
      <c r="F122" s="71">
        <f>老健!E25</f>
        <v>0</v>
      </c>
      <c r="G122" s="71">
        <f>老健!F25</f>
        <v>0.01</v>
      </c>
      <c r="H122" s="71">
        <f>老健!G25</f>
        <v>0.01</v>
      </c>
      <c r="I122" s="71">
        <f>老健!H25</f>
        <v>0</v>
      </c>
      <c r="J122" s="71">
        <f>老健!I25</f>
        <v>0.11</v>
      </c>
    </row>
    <row r="123" spans="2:10">
      <c r="B123" s="53" t="s">
        <v>78</v>
      </c>
      <c r="C123" s="53">
        <v>3</v>
      </c>
      <c r="D123" s="113">
        <f>スポーツクラブ!C25</f>
        <v>0</v>
      </c>
      <c r="E123" s="113">
        <f>スポーツクラブ!D25</f>
        <v>0.09</v>
      </c>
      <c r="F123" s="113">
        <f>スポーツクラブ!E25</f>
        <v>0</v>
      </c>
      <c r="G123" s="113">
        <f>スポーツクラブ!F25</f>
        <v>0.01</v>
      </c>
      <c r="H123" s="113">
        <f>スポーツクラブ!G25</f>
        <v>0.01</v>
      </c>
      <c r="I123" s="113">
        <f>スポーツクラブ!H25</f>
        <v>0</v>
      </c>
      <c r="J123" s="113">
        <f>スポーツクラブ!I25</f>
        <v>0.06</v>
      </c>
    </row>
    <row r="124" spans="2:10">
      <c r="B124" s="170" t="s">
        <v>92</v>
      </c>
      <c r="C124" s="53">
        <v>4</v>
      </c>
      <c r="D124" s="193">
        <f>ホテル!C25</f>
        <v>0</v>
      </c>
      <c r="E124" s="193">
        <f>ホテル!D25</f>
        <v>0.11</v>
      </c>
      <c r="F124" s="193">
        <f>ホテル!E25</f>
        <v>0</v>
      </c>
      <c r="G124" s="193">
        <f>ホテル!F25</f>
        <v>0.01</v>
      </c>
      <c r="H124" s="193">
        <f>ホテル!G25</f>
        <v>0.01</v>
      </c>
      <c r="I124" s="193">
        <f>ホテル!H25</f>
        <v>0</v>
      </c>
      <c r="J124" s="193">
        <f>ホテル!I25</f>
        <v>0.11</v>
      </c>
    </row>
    <row r="125" spans="2:10">
      <c r="B125" s="53"/>
      <c r="C125" s="53">
        <v>5</v>
      </c>
      <c r="D125" s="141"/>
      <c r="E125" s="141"/>
      <c r="F125" s="141"/>
      <c r="G125" s="141"/>
      <c r="H125" s="141"/>
      <c r="I125" s="141"/>
      <c r="J125" s="141"/>
    </row>
    <row r="126" spans="2:10">
      <c r="B126" s="53"/>
      <c r="C126" s="53">
        <v>6</v>
      </c>
      <c r="D126" s="141"/>
      <c r="E126" s="141"/>
      <c r="F126" s="141"/>
      <c r="G126" s="141"/>
      <c r="H126" s="141"/>
      <c r="I126" s="141"/>
      <c r="J126" s="141"/>
    </row>
    <row r="127" spans="2:10">
      <c r="B127" s="53"/>
      <c r="C127" s="53">
        <v>7</v>
      </c>
      <c r="D127" s="141"/>
      <c r="E127" s="141"/>
      <c r="F127" s="141"/>
      <c r="G127" s="141"/>
      <c r="H127" s="141"/>
      <c r="I127" s="141"/>
      <c r="J127" s="141"/>
    </row>
    <row r="128" spans="2:10">
      <c r="B128" s="53"/>
      <c r="C128" s="53"/>
    </row>
    <row r="129" spans="2:10">
      <c r="B129" s="53"/>
      <c r="C129" s="53"/>
    </row>
    <row r="130" spans="2:10">
      <c r="B130" s="66" t="s">
        <v>80</v>
      </c>
      <c r="C130" s="54"/>
      <c r="D130" s="70">
        <v>1</v>
      </c>
      <c r="E130" s="70">
        <v>2</v>
      </c>
      <c r="F130" s="70">
        <v>3</v>
      </c>
      <c r="G130" s="70">
        <v>4</v>
      </c>
      <c r="H130" s="70">
        <v>5</v>
      </c>
      <c r="I130" s="70">
        <v>6</v>
      </c>
      <c r="J130" s="70">
        <v>7</v>
      </c>
    </row>
    <row r="131" spans="2:10">
      <c r="B131" s="53" t="s">
        <v>75</v>
      </c>
      <c r="C131" s="53">
        <v>1</v>
      </c>
      <c r="D131" s="71">
        <f>事務所!C27</f>
        <v>0</v>
      </c>
      <c r="E131" s="71">
        <f>事務所!D27</f>
        <v>0</v>
      </c>
      <c r="F131" s="71">
        <f>事務所!E27</f>
        <v>0</v>
      </c>
      <c r="G131" s="71">
        <f>事務所!F27</f>
        <v>0</v>
      </c>
      <c r="H131" s="71">
        <f>事務所!G27</f>
        <v>0</v>
      </c>
      <c r="I131" s="71">
        <f>事務所!H27</f>
        <v>0</v>
      </c>
      <c r="J131" s="71">
        <f>事務所!I27</f>
        <v>0</v>
      </c>
    </row>
    <row r="132" spans="2:10">
      <c r="B132" s="53" t="s">
        <v>76</v>
      </c>
      <c r="C132" s="53">
        <v>2</v>
      </c>
      <c r="D132" s="71">
        <f>老健!C27</f>
        <v>0</v>
      </c>
      <c r="E132" s="71">
        <f>老健!D27</f>
        <v>0</v>
      </c>
      <c r="F132" s="71">
        <f>老健!E27</f>
        <v>0</v>
      </c>
      <c r="G132" s="71">
        <f>老健!F27</f>
        <v>0</v>
      </c>
      <c r="H132" s="71">
        <f>老健!G27</f>
        <v>0</v>
      </c>
      <c r="I132" s="71">
        <f>老健!H27</f>
        <v>0</v>
      </c>
      <c r="J132" s="71">
        <f>老健!I27</f>
        <v>0.2</v>
      </c>
    </row>
    <row r="133" spans="2:10">
      <c r="B133" s="53" t="s">
        <v>78</v>
      </c>
      <c r="C133" s="53">
        <v>3</v>
      </c>
      <c r="D133" s="117">
        <f>スポーツクラブ!C27</f>
        <v>0</v>
      </c>
      <c r="E133" s="117">
        <f>スポーツクラブ!D27</f>
        <v>0</v>
      </c>
      <c r="F133" s="117">
        <f>スポーツクラブ!E27</f>
        <v>0</v>
      </c>
      <c r="G133" s="117">
        <f>スポーツクラブ!F27</f>
        <v>0</v>
      </c>
      <c r="H133" s="117">
        <f>スポーツクラブ!G27</f>
        <v>0</v>
      </c>
      <c r="I133" s="117">
        <f>スポーツクラブ!H27</f>
        <v>0</v>
      </c>
      <c r="J133" s="117">
        <f>スポーツクラブ!I27</f>
        <v>0.15</v>
      </c>
    </row>
    <row r="134" spans="2:10">
      <c r="B134" s="170" t="s">
        <v>92</v>
      </c>
      <c r="C134" s="53">
        <v>4</v>
      </c>
      <c r="D134" s="193">
        <f>ホテル!C27</f>
        <v>0</v>
      </c>
      <c r="E134" s="193">
        <f>ホテル!D27</f>
        <v>0</v>
      </c>
      <c r="F134" s="193">
        <f>ホテル!E27</f>
        <v>0.03</v>
      </c>
      <c r="G134" s="193">
        <f>ホテル!F27</f>
        <v>0</v>
      </c>
      <c r="H134" s="193">
        <f>ホテル!G27</f>
        <v>0</v>
      </c>
      <c r="I134" s="193">
        <f>ホテル!H27</f>
        <v>0</v>
      </c>
      <c r="J134" s="193">
        <f>ホテル!I27</f>
        <v>0.4</v>
      </c>
    </row>
    <row r="135" spans="2:10">
      <c r="B135" s="53"/>
      <c r="C135" s="53">
        <v>5</v>
      </c>
      <c r="D135" s="141"/>
      <c r="E135" s="141"/>
      <c r="F135" s="141"/>
      <c r="G135" s="141"/>
      <c r="H135" s="141"/>
      <c r="I135" s="141"/>
      <c r="J135" s="141"/>
    </row>
    <row r="136" spans="2:10">
      <c r="B136" s="53"/>
      <c r="C136" s="53">
        <v>6</v>
      </c>
      <c r="D136" s="141"/>
      <c r="E136" s="141"/>
      <c r="F136" s="141"/>
      <c r="G136" s="141"/>
      <c r="H136" s="141"/>
      <c r="I136" s="141"/>
      <c r="J136" s="141"/>
    </row>
    <row r="137" spans="2:10">
      <c r="B137" s="53"/>
      <c r="C137" s="53">
        <v>7</v>
      </c>
      <c r="D137" s="141"/>
      <c r="E137" s="141"/>
      <c r="F137" s="141"/>
      <c r="G137" s="141"/>
      <c r="H137" s="141"/>
      <c r="I137" s="141"/>
      <c r="J137" s="141"/>
    </row>
    <row r="139" spans="2:10" ht="14.25" thickBot="1"/>
    <row r="140" spans="2:10" ht="14.25" thickBot="1">
      <c r="D140" s="72" t="s">
        <v>12</v>
      </c>
      <c r="E140" s="72" t="s">
        <v>30</v>
      </c>
    </row>
    <row r="141" spans="2:10" ht="14.25" thickTop="1">
      <c r="B141" s="66" t="s">
        <v>79</v>
      </c>
      <c r="C141" s="54"/>
      <c r="D141" s="70">
        <v>1</v>
      </c>
      <c r="E141" s="70">
        <v>2</v>
      </c>
    </row>
    <row r="142" spans="2:10">
      <c r="B142" s="53" t="s">
        <v>75</v>
      </c>
      <c r="C142" s="53">
        <v>1</v>
      </c>
      <c r="D142" s="71">
        <f>事務所!M25</f>
        <v>0</v>
      </c>
      <c r="E142" s="71">
        <v>0.01</v>
      </c>
    </row>
    <row r="143" spans="2:10">
      <c r="B143" s="53" t="s">
        <v>76</v>
      </c>
      <c r="C143" s="53">
        <v>2</v>
      </c>
      <c r="D143" s="71">
        <f>老健!M25</f>
        <v>0</v>
      </c>
      <c r="E143" s="71">
        <f>老健!N25</f>
        <v>0.01</v>
      </c>
    </row>
    <row r="144" spans="2:10">
      <c r="B144" s="53" t="s">
        <v>78</v>
      </c>
      <c r="C144" s="53">
        <v>3</v>
      </c>
      <c r="D144" s="71">
        <f>スポーツクラブ!M25</f>
        <v>0</v>
      </c>
      <c r="E144" s="71">
        <f>スポーツクラブ!N25</f>
        <v>0.01</v>
      </c>
    </row>
    <row r="145" spans="2:5">
      <c r="B145" s="170" t="s">
        <v>92</v>
      </c>
      <c r="C145" s="53">
        <v>4</v>
      </c>
      <c r="D145" s="193">
        <f>ホテル!M25</f>
        <v>0</v>
      </c>
      <c r="E145" s="193">
        <f>ホテル!N25</f>
        <v>0.01</v>
      </c>
    </row>
    <row r="146" spans="2:5">
      <c r="B146" s="53"/>
      <c r="C146" s="53">
        <v>5</v>
      </c>
      <c r="D146" s="141"/>
      <c r="E146" s="141"/>
    </row>
    <row r="147" spans="2:5">
      <c r="B147" s="53"/>
      <c r="C147" s="53">
        <v>6</v>
      </c>
      <c r="D147" s="141"/>
      <c r="E147" s="141"/>
    </row>
    <row r="148" spans="2:5">
      <c r="B148" s="53"/>
      <c r="C148" s="53">
        <v>7</v>
      </c>
      <c r="D148" s="141"/>
      <c r="E148" s="141"/>
    </row>
    <row r="149" spans="2:5">
      <c r="B149" s="53"/>
      <c r="C149" s="53"/>
    </row>
    <row r="150" spans="2:5">
      <c r="B150" s="53"/>
      <c r="C150" s="53"/>
    </row>
    <row r="151" spans="2:5">
      <c r="B151" s="66" t="s">
        <v>80</v>
      </c>
      <c r="C151" s="54"/>
      <c r="D151" s="70">
        <v>1</v>
      </c>
      <c r="E151" s="70">
        <v>2</v>
      </c>
    </row>
    <row r="152" spans="2:5">
      <c r="B152" s="53" t="s">
        <v>75</v>
      </c>
      <c r="C152" s="53">
        <v>1</v>
      </c>
      <c r="D152" s="71">
        <f>事務所!M27</f>
        <v>0</v>
      </c>
      <c r="E152" s="71">
        <v>5.0000000000000001E-3</v>
      </c>
    </row>
    <row r="153" spans="2:5">
      <c r="B153" s="53" t="s">
        <v>76</v>
      </c>
      <c r="C153" s="53">
        <v>2</v>
      </c>
      <c r="D153" s="71">
        <f>老健!M27</f>
        <v>0</v>
      </c>
      <c r="E153" s="71">
        <f>老健!N27</f>
        <v>5.0000000000000001E-3</v>
      </c>
    </row>
    <row r="154" spans="2:5">
      <c r="B154" s="53" t="s">
        <v>78</v>
      </c>
      <c r="C154" s="53">
        <v>3</v>
      </c>
      <c r="D154" s="113">
        <f>スポーツクラブ!M27</f>
        <v>0</v>
      </c>
      <c r="E154" s="113">
        <f>スポーツクラブ!N27</f>
        <v>5.0000000000000001E-3</v>
      </c>
    </row>
    <row r="155" spans="2:5">
      <c r="B155" s="170" t="s">
        <v>92</v>
      </c>
      <c r="C155" s="53">
        <v>4</v>
      </c>
      <c r="D155" s="196">
        <f>ホテル!M27</f>
        <v>0</v>
      </c>
      <c r="E155" s="196">
        <f>ホテル!N27</f>
        <v>5.0000000000000001E-3</v>
      </c>
    </row>
    <row r="156" spans="2:5">
      <c r="B156" s="53"/>
      <c r="C156" s="53">
        <v>5</v>
      </c>
      <c r="D156" s="141"/>
      <c r="E156" s="141"/>
    </row>
    <row r="157" spans="2:5">
      <c r="B157" s="53"/>
      <c r="C157" s="53">
        <v>6</v>
      </c>
      <c r="D157" s="141"/>
      <c r="E157" s="141"/>
    </row>
    <row r="158" spans="2:5">
      <c r="B158" s="53"/>
      <c r="C158" s="53">
        <v>7</v>
      </c>
      <c r="D158" s="141"/>
      <c r="E158" s="141"/>
    </row>
  </sheetData>
  <mergeCells count="1">
    <mergeCell ref="C3:D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入力</vt:lpstr>
      <vt:lpstr>事務所</vt:lpstr>
      <vt:lpstr>老健</vt:lpstr>
      <vt:lpstr>スポーツクラブ</vt:lpstr>
      <vt:lpstr>ホテル</vt:lpstr>
      <vt:lpstr>Sheet2</vt:lpstr>
      <vt:lpstr>Sheet3</vt:lpstr>
      <vt:lpstr>Sheet2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OKISETUBI</dc:creator>
  <cp:lastModifiedBy>user</cp:lastModifiedBy>
  <cp:lastPrinted>2018-11-01T04:09:09Z</cp:lastPrinted>
  <dcterms:created xsi:type="dcterms:W3CDTF">2017-11-02T00:13:31Z</dcterms:created>
  <dcterms:modified xsi:type="dcterms:W3CDTF">2020-03-31T01:38:31Z</dcterms:modified>
</cp:coreProperties>
</file>